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-105" windowWidth="23250" windowHeight="12570" tabRatio="601" firstSheet="9" activeTab="13"/>
  </bookViews>
  <sheets>
    <sheet name="Birthdays" sheetId="10" r:id="rId1"/>
    <sheet name="Clubmen of Year" sheetId="8" r:id="rId2"/>
    <sheet name="Managers" sheetId="5" r:id="rId3"/>
    <sheet name="Dates (League)" sheetId="1" r:id="rId4"/>
    <sheet name="Days (League)" sheetId="4" r:id="rId5"/>
    <sheet name="Top Scorers" sheetId="2" r:id="rId6"/>
    <sheet name="Comebacks (to win)" sheetId="14" r:id="rId7"/>
    <sheet name="Hat Tricks" sheetId="17" r:id="rId8"/>
    <sheet name="3+ goals in consec. away games" sheetId="15" r:id="rId9"/>
    <sheet name="3+ goals in 4 consec. games" sheetId="16" r:id="rId10"/>
    <sheet name="Most Appearances" sheetId="3" r:id="rId11"/>
    <sheet name="Record Transfers" sheetId="7" r:id="rId12"/>
    <sheet name="Television" sheetId="9" r:id="rId13"/>
    <sheet name="Television-Enhanced" sheetId="18" r:id="rId14"/>
    <sheet name="25,000+ Crowds" sheetId="11" r:id="rId15"/>
  </sheets>
  <definedNames>
    <definedName name="_xlnm._FilterDatabase" localSheetId="0" hidden="1">Birthdays!$A$1:$D$451</definedName>
    <definedName name="_xlnm._FilterDatabase" localSheetId="6" hidden="1">'Comebacks (to win)'!$A$1:$N$54</definedName>
    <definedName name="_xlnm._FilterDatabase" localSheetId="7" hidden="1">'Hat Tricks'!$A$1:$K$70</definedName>
    <definedName name="_xlnm._FilterDatabase" localSheetId="12" hidden="1">Television!$A$1:$T$1</definedName>
    <definedName name="_xlnm._FilterDatabase" localSheetId="13" hidden="1">'Television-Enhanced'!$A$1:$L$53</definedName>
    <definedName name="_xlnm.Print_Area" localSheetId="5">'Top Scorers'!$A$1:$K$49</definedName>
    <definedName name="R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8" l="1"/>
  <c r="F68" i="18"/>
  <c r="F69" i="18"/>
  <c r="F66" i="18"/>
  <c r="F65" i="18" l="1"/>
  <c r="K90" i="4" l="1"/>
  <c r="J90" i="4"/>
  <c r="R59" i="5"/>
  <c r="L59" i="5"/>
  <c r="T59" i="5" s="1"/>
  <c r="Q60" i="5"/>
  <c r="P60" i="5"/>
  <c r="O60" i="5"/>
  <c r="N60" i="5"/>
  <c r="M60" i="5"/>
  <c r="L60" i="5" l="1"/>
  <c r="S59" i="5"/>
  <c r="R58" i="5"/>
  <c r="L58" i="5"/>
  <c r="T58" i="5" s="1"/>
  <c r="S58" i="5" l="1"/>
  <c r="H37" i="2" l="1"/>
  <c r="J37" i="2" s="1"/>
  <c r="D51" i="5" l="1"/>
  <c r="F51" i="5" s="1"/>
  <c r="E51" i="5" l="1"/>
  <c r="F15" i="3"/>
  <c r="F16" i="3"/>
  <c r="R65" i="5"/>
  <c r="R66" i="5"/>
  <c r="R72" i="5"/>
  <c r="R77" i="5"/>
  <c r="R85" i="5"/>
  <c r="R84" i="5"/>
  <c r="R94" i="5"/>
  <c r="R95" i="5"/>
  <c r="R96" i="5"/>
  <c r="R97" i="5"/>
  <c r="R98" i="5"/>
  <c r="R104" i="5"/>
  <c r="R110" i="5"/>
  <c r="R111" i="5"/>
  <c r="R113" i="5"/>
  <c r="L66" i="5"/>
  <c r="T66" i="5" s="1"/>
  <c r="L65" i="5"/>
  <c r="T65" i="5" s="1"/>
  <c r="R71" i="5"/>
  <c r="L71" i="5"/>
  <c r="T71" i="5" s="1"/>
  <c r="Q73" i="5"/>
  <c r="P73" i="5"/>
  <c r="O73" i="5"/>
  <c r="N73" i="5"/>
  <c r="M73" i="5"/>
  <c r="L72" i="5"/>
  <c r="T72" i="5" s="1"/>
  <c r="R70" i="5"/>
  <c r="L70" i="5"/>
  <c r="T70" i="5" s="1"/>
  <c r="R49" i="5"/>
  <c r="L49" i="5"/>
  <c r="E49" i="5"/>
  <c r="F48" i="5"/>
  <c r="E50" i="5"/>
  <c r="S65" i="5" l="1"/>
  <c r="S66" i="5"/>
  <c r="S71" i="5"/>
  <c r="S72" i="5"/>
  <c r="R73" i="5"/>
  <c r="S70" i="5"/>
  <c r="L73" i="5"/>
  <c r="F50" i="5"/>
  <c r="S73" i="5" l="1"/>
  <c r="T73" i="5"/>
  <c r="S46" i="9" l="1"/>
  <c r="R46" i="9"/>
  <c r="Q46" i="9"/>
  <c r="P46" i="9"/>
  <c r="O46" i="9"/>
  <c r="N46" i="9" s="1"/>
  <c r="S45" i="9"/>
  <c r="R45" i="9"/>
  <c r="Q45" i="9"/>
  <c r="P45" i="9"/>
  <c r="O45" i="9"/>
  <c r="N45" i="9" s="1"/>
  <c r="K89" i="4" l="1"/>
  <c r="J89" i="4"/>
  <c r="R48" i="5" l="1"/>
  <c r="L48" i="5"/>
  <c r="E48" i="5"/>
  <c r="T48" i="5" l="1"/>
  <c r="S48" i="5"/>
  <c r="D17" i="10"/>
  <c r="D43" i="10"/>
  <c r="D123" i="10"/>
  <c r="D132" i="10"/>
  <c r="D133" i="10"/>
  <c r="D151" i="10"/>
  <c r="D231" i="10"/>
  <c r="D305" i="10"/>
  <c r="F305" i="10"/>
  <c r="D160" i="10"/>
  <c r="D219" i="10"/>
  <c r="D205" i="10"/>
  <c r="D266" i="10"/>
  <c r="D308" i="10"/>
  <c r="D271" i="10"/>
  <c r="D236" i="10"/>
  <c r="D239" i="10"/>
  <c r="D211" i="10"/>
  <c r="D112" i="10"/>
  <c r="D250" i="10"/>
  <c r="D307" i="10"/>
  <c r="D207" i="10"/>
  <c r="D131" i="10"/>
  <c r="D292" i="10"/>
  <c r="D13" i="10"/>
  <c r="D221" i="10"/>
  <c r="D255" i="10"/>
  <c r="D263" i="10"/>
  <c r="D295" i="10"/>
  <c r="D174" i="10"/>
  <c r="D63" i="10"/>
  <c r="D303" i="10"/>
  <c r="D62" i="10"/>
  <c r="D65" i="10"/>
  <c r="D3" i="10"/>
  <c r="D94" i="10"/>
  <c r="D267" i="10"/>
  <c r="D242" i="10"/>
  <c r="D58" i="10"/>
  <c r="L77" i="5"/>
  <c r="T77" i="5" s="1"/>
  <c r="F47" i="5"/>
  <c r="R46" i="5"/>
  <c r="L46" i="5"/>
  <c r="E46" i="5"/>
  <c r="J249" i="10"/>
  <c r="I249" i="10"/>
  <c r="D249" i="10"/>
  <c r="Q44" i="9"/>
  <c r="P44" i="9"/>
  <c r="O44" i="9"/>
  <c r="Q43" i="9"/>
  <c r="P43" i="9"/>
  <c r="O43" i="9"/>
  <c r="K88" i="4"/>
  <c r="J88" i="4"/>
  <c r="Q42" i="9"/>
  <c r="P42" i="9"/>
  <c r="O42" i="9"/>
  <c r="L84" i="5"/>
  <c r="T84" i="5" s="1"/>
  <c r="R83" i="5"/>
  <c r="L83" i="5"/>
  <c r="T83" i="5" s="1"/>
  <c r="N44" i="9" l="1"/>
  <c r="S77" i="5"/>
  <c r="S84" i="5"/>
  <c r="E47" i="5"/>
  <c r="S83" i="5"/>
  <c r="N43" i="9"/>
  <c r="N42" i="9"/>
  <c r="R82" i="5" l="1"/>
  <c r="L82" i="5"/>
  <c r="T82" i="5" s="1"/>
  <c r="S82" i="5" l="1"/>
  <c r="K87" i="4"/>
  <c r="J87" i="4"/>
  <c r="T114" i="5"/>
  <c r="S114" i="5"/>
  <c r="T113" i="5"/>
  <c r="S113" i="5"/>
  <c r="T112" i="5"/>
  <c r="S112" i="5"/>
  <c r="T111" i="5"/>
  <c r="S111" i="5"/>
  <c r="T110" i="5"/>
  <c r="S110" i="5"/>
  <c r="T109" i="5"/>
  <c r="S109" i="5"/>
  <c r="T105" i="5"/>
  <c r="S105" i="5"/>
  <c r="T104" i="5"/>
  <c r="S104" i="5"/>
  <c r="T103" i="5"/>
  <c r="S103" i="5"/>
  <c r="L85" i="5" l="1"/>
  <c r="T85" i="5" s="1"/>
  <c r="L96" i="5"/>
  <c r="T96" i="5" s="1"/>
  <c r="R93" i="5"/>
  <c r="L93" i="5"/>
  <c r="T93" i="5" s="1"/>
  <c r="F27" i="10"/>
  <c r="F33" i="10"/>
  <c r="F204" i="10"/>
  <c r="D204" i="10"/>
  <c r="F37" i="10"/>
  <c r="S96" i="5" l="1"/>
  <c r="S85" i="5"/>
  <c r="S93" i="5"/>
  <c r="F45" i="5" l="1"/>
  <c r="Q41" i="9"/>
  <c r="P41" i="9"/>
  <c r="O41" i="9"/>
  <c r="N41" i="9" s="1"/>
  <c r="K86" i="4"/>
  <c r="J86" i="4"/>
  <c r="R91" i="5"/>
  <c r="L91" i="5"/>
  <c r="T91" i="5" s="1"/>
  <c r="L97" i="5"/>
  <c r="T97" i="5" s="1"/>
  <c r="L95" i="5"/>
  <c r="T95" i="5" s="1"/>
  <c r="R92" i="5"/>
  <c r="L92" i="5"/>
  <c r="T92" i="5" s="1"/>
  <c r="H52" i="2"/>
  <c r="E45" i="5" l="1"/>
  <c r="S95" i="5"/>
  <c r="S97" i="5"/>
  <c r="J52" i="2"/>
  <c r="S91" i="5"/>
  <c r="S92" i="5"/>
  <c r="H49" i="2"/>
  <c r="H50" i="2"/>
  <c r="H51" i="2"/>
  <c r="H47" i="2"/>
  <c r="J51" i="2" l="1"/>
  <c r="J50" i="2"/>
  <c r="J49" i="2"/>
  <c r="J47" i="2"/>
  <c r="L94" i="5"/>
  <c r="T94" i="5" s="1"/>
  <c r="S94" i="5" l="1"/>
  <c r="Q40" i="9"/>
  <c r="P40" i="9"/>
  <c r="O40" i="9"/>
  <c r="N40" i="9" l="1"/>
  <c r="Q39" i="9"/>
  <c r="P39" i="9"/>
  <c r="O39" i="9"/>
  <c r="N39" i="9" l="1"/>
  <c r="L98" i="5"/>
  <c r="R90" i="5" l="1"/>
  <c r="L90" i="5"/>
  <c r="T90" i="5" s="1"/>
  <c r="S90" i="5" l="1"/>
  <c r="K85" i="4"/>
  <c r="J85" i="4"/>
  <c r="L89" i="5" l="1"/>
  <c r="Q99" i="5"/>
  <c r="Q44" i="5" s="1"/>
  <c r="P99" i="5"/>
  <c r="P44" i="5" s="1"/>
  <c r="O99" i="5"/>
  <c r="N99" i="5"/>
  <c r="N44" i="5" s="1"/>
  <c r="M99" i="5"/>
  <c r="T98" i="5"/>
  <c r="R89" i="5"/>
  <c r="M44" i="5" l="1"/>
  <c r="O44" i="5"/>
  <c r="R99" i="5"/>
  <c r="S98" i="5"/>
  <c r="L99" i="5"/>
  <c r="T99" i="5" s="1"/>
  <c r="F13" i="3"/>
  <c r="F14" i="3"/>
  <c r="F17" i="3"/>
  <c r="F18" i="3"/>
  <c r="S99" i="5" l="1"/>
  <c r="D28" i="10"/>
  <c r="D29" i="10"/>
  <c r="D279" i="10"/>
  <c r="D88" i="10"/>
  <c r="D47" i="10"/>
  <c r="D173" i="10"/>
  <c r="D179" i="10"/>
  <c r="D183" i="10"/>
  <c r="D241" i="10"/>
  <c r="D177" i="10"/>
  <c r="D309" i="10"/>
  <c r="D126" i="10"/>
  <c r="D106" i="10"/>
  <c r="D190" i="10"/>
  <c r="D191" i="10"/>
  <c r="D96" i="10"/>
  <c r="D35" i="10"/>
  <c r="D202" i="10"/>
  <c r="D273" i="10"/>
  <c r="D46" i="10"/>
  <c r="F44" i="5" l="1"/>
  <c r="R44" i="5"/>
  <c r="L44" i="5"/>
  <c r="T44" i="5" l="1"/>
  <c r="E44" i="5"/>
  <c r="S44" i="5"/>
  <c r="V34" i="2"/>
  <c r="V31" i="2"/>
  <c r="V30" i="2"/>
  <c r="V33" i="2"/>
  <c r="V29" i="2"/>
  <c r="V32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K84" i="4" l="1"/>
  <c r="J84" i="4"/>
  <c r="R43" i="5" l="1"/>
  <c r="L43" i="5"/>
  <c r="T43" i="5" s="1"/>
  <c r="S43" i="5" l="1"/>
  <c r="E39" i="5"/>
  <c r="E35" i="5"/>
  <c r="E34" i="5"/>
  <c r="E32" i="5"/>
  <c r="E29" i="5"/>
  <c r="E22" i="5"/>
  <c r="E19" i="5"/>
  <c r="E18" i="5"/>
  <c r="E14" i="5"/>
  <c r="E9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L14" i="5"/>
  <c r="L19" i="5"/>
  <c r="L22" i="5"/>
  <c r="L32" i="5"/>
  <c r="L39" i="5"/>
  <c r="L35" i="5"/>
  <c r="L34" i="5"/>
  <c r="F42" i="5"/>
  <c r="F41" i="5"/>
  <c r="F40" i="5"/>
  <c r="F38" i="5"/>
  <c r="F37" i="5"/>
  <c r="F36" i="5"/>
  <c r="F33" i="5"/>
  <c r="F31" i="5"/>
  <c r="F30" i="5"/>
  <c r="F28" i="5"/>
  <c r="F27" i="5"/>
  <c r="F26" i="5"/>
  <c r="F25" i="5"/>
  <c r="F24" i="5"/>
  <c r="F23" i="5"/>
  <c r="F21" i="5"/>
  <c r="F20" i="5"/>
  <c r="F17" i="5"/>
  <c r="A3" i="5"/>
  <c r="L36" i="5"/>
  <c r="T36" i="5" s="1"/>
  <c r="L42" i="5"/>
  <c r="T42" i="5" s="1"/>
  <c r="L41" i="5"/>
  <c r="T41" i="5" s="1"/>
  <c r="L40" i="5"/>
  <c r="T40" i="5" s="1"/>
  <c r="L38" i="5"/>
  <c r="T38" i="5" s="1"/>
  <c r="L37" i="5"/>
  <c r="T37" i="5" s="1"/>
  <c r="L33" i="5"/>
  <c r="T33" i="5" s="1"/>
  <c r="L31" i="5"/>
  <c r="T31" i="5" s="1"/>
  <c r="L30" i="5"/>
  <c r="T30" i="5" s="1"/>
  <c r="L29" i="5"/>
  <c r="L28" i="5"/>
  <c r="T28" i="5" s="1"/>
  <c r="L27" i="5"/>
  <c r="T27" i="5" s="1"/>
  <c r="L26" i="5"/>
  <c r="T26" i="5" s="1"/>
  <c r="L25" i="5"/>
  <c r="T25" i="5" s="1"/>
  <c r="L24" i="5"/>
  <c r="T24" i="5" s="1"/>
  <c r="L23" i="5"/>
  <c r="T23" i="5" s="1"/>
  <c r="L21" i="5"/>
  <c r="T21" i="5" s="1"/>
  <c r="L20" i="5"/>
  <c r="T20" i="5" s="1"/>
  <c r="L18" i="5"/>
  <c r="L17" i="5"/>
  <c r="T17" i="5" s="1"/>
  <c r="L16" i="5"/>
  <c r="T16" i="5" s="1"/>
  <c r="L15" i="5"/>
  <c r="T15" i="5" s="1"/>
  <c r="L13" i="5"/>
  <c r="T13" i="5" s="1"/>
  <c r="L12" i="5"/>
  <c r="T12" i="5" s="1"/>
  <c r="R13" i="5"/>
  <c r="R12" i="5"/>
  <c r="R2" i="5"/>
  <c r="R3" i="5"/>
  <c r="R4" i="5"/>
  <c r="R5" i="5"/>
  <c r="R6" i="5"/>
  <c r="R7" i="5"/>
  <c r="R8" i="5"/>
  <c r="R10" i="5"/>
  <c r="R11" i="5"/>
  <c r="L11" i="5"/>
  <c r="T11" i="5" s="1"/>
  <c r="L10" i="5"/>
  <c r="T10" i="5" s="1"/>
  <c r="L8" i="5"/>
  <c r="T8" i="5" s="1"/>
  <c r="L7" i="5"/>
  <c r="L6" i="5"/>
  <c r="L5" i="5"/>
  <c r="T5" i="5" s="1"/>
  <c r="L4" i="5"/>
  <c r="L3" i="5"/>
  <c r="T3" i="5" s="1"/>
  <c r="L2" i="5"/>
  <c r="T2" i="5" l="1"/>
  <c r="S6" i="5"/>
  <c r="S28" i="5"/>
  <c r="S15" i="5"/>
  <c r="S20" i="5"/>
  <c r="S24" i="5"/>
  <c r="S27" i="5"/>
  <c r="S30" i="5"/>
  <c r="S33" i="5"/>
  <c r="S26" i="5"/>
  <c r="S38" i="5"/>
  <c r="S7" i="5"/>
  <c r="S42" i="5"/>
  <c r="E43" i="5"/>
  <c r="F43" i="5"/>
  <c r="S36" i="5"/>
  <c r="S17" i="5"/>
  <c r="S40" i="5"/>
  <c r="S4" i="5"/>
  <c r="S2" i="5"/>
  <c r="A4" i="5"/>
  <c r="S21" i="5"/>
  <c r="S37" i="5"/>
  <c r="S31" i="5"/>
  <c r="S16" i="5"/>
  <c r="S23" i="5"/>
  <c r="S25" i="5"/>
  <c r="S41" i="5"/>
  <c r="S3" i="5"/>
  <c r="S13" i="5"/>
  <c r="S12" i="5"/>
  <c r="S11" i="5"/>
  <c r="S10" i="5"/>
  <c r="S8" i="5"/>
  <c r="T7" i="5"/>
  <c r="T6" i="5"/>
  <c r="S5" i="5"/>
  <c r="T4" i="5"/>
  <c r="A5" i="5" l="1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Y27" i="2"/>
  <c r="Y34" i="2"/>
  <c r="Y31" i="2"/>
  <c r="Y30" i="2"/>
  <c r="Y33" i="2"/>
  <c r="Y29" i="2"/>
  <c r="Y32" i="2"/>
  <c r="Y28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A6" i="5" l="1"/>
  <c r="A7" i="5" l="1"/>
  <c r="A8" i="5" s="1"/>
  <c r="A10" i="5" s="1"/>
  <c r="E42" i="5"/>
  <c r="K83" i="4"/>
  <c r="J83" i="4"/>
  <c r="Q38" i="9"/>
  <c r="P38" i="9"/>
  <c r="O38" i="9"/>
  <c r="Q37" i="9"/>
  <c r="P37" i="9"/>
  <c r="O37" i="9"/>
  <c r="H46" i="2"/>
  <c r="C97" i="4"/>
  <c r="J46" i="2" l="1"/>
  <c r="A11" i="5"/>
  <c r="A12" i="5" s="1"/>
  <c r="A13" i="5" s="1"/>
  <c r="N38" i="9"/>
  <c r="N37" i="9"/>
  <c r="A15" i="5" l="1"/>
  <c r="Q36" i="9"/>
  <c r="P36" i="9"/>
  <c r="O36" i="9"/>
  <c r="K82" i="4"/>
  <c r="J82" i="4"/>
  <c r="A16" i="5" l="1"/>
  <c r="E40" i="5"/>
  <c r="N36" i="9"/>
  <c r="D277" i="10"/>
  <c r="A17" i="5" l="1"/>
  <c r="E38" i="5"/>
  <c r="A20" i="5" l="1"/>
  <c r="K81" i="4"/>
  <c r="J81" i="4"/>
  <c r="D245" i="10"/>
  <c r="I245" i="10"/>
  <c r="J245" i="10"/>
  <c r="D154" i="10"/>
  <c r="I154" i="10"/>
  <c r="J154" i="10"/>
  <c r="D215" i="10"/>
  <c r="I215" i="10"/>
  <c r="J215" i="10"/>
  <c r="J272" i="10"/>
  <c r="I272" i="10"/>
  <c r="D272" i="10"/>
  <c r="J253" i="10"/>
  <c r="I253" i="10"/>
  <c r="D253" i="10"/>
  <c r="J218" i="10"/>
  <c r="I218" i="10"/>
  <c r="D218" i="10"/>
  <c r="J171" i="10"/>
  <c r="I171" i="10"/>
  <c r="D171" i="10"/>
  <c r="D262" i="10"/>
  <c r="I262" i="10"/>
  <c r="J262" i="10"/>
  <c r="J102" i="10"/>
  <c r="I102" i="10"/>
  <c r="D102" i="10"/>
  <c r="J100" i="10"/>
  <c r="I100" i="10"/>
  <c r="D100" i="10"/>
  <c r="J48" i="10"/>
  <c r="I48" i="10"/>
  <c r="D48" i="10"/>
  <c r="D276" i="10"/>
  <c r="I276" i="10"/>
  <c r="J276" i="10"/>
  <c r="D156" i="10"/>
  <c r="I156" i="10"/>
  <c r="J156" i="10"/>
  <c r="E41" i="5"/>
  <c r="Q35" i="9"/>
  <c r="P35" i="9"/>
  <c r="O35" i="9"/>
  <c r="Q34" i="9"/>
  <c r="P34" i="9"/>
  <c r="O34" i="9"/>
  <c r="K80" i="4"/>
  <c r="J80" i="4"/>
  <c r="N10" i="1"/>
  <c r="N17" i="1"/>
  <c r="N20" i="1"/>
  <c r="N24" i="1"/>
  <c r="N31" i="1"/>
  <c r="N7" i="1"/>
  <c r="N14" i="1"/>
  <c r="N21" i="1"/>
  <c r="N28" i="1"/>
  <c r="N5" i="1"/>
  <c r="N12" i="1"/>
  <c r="E37" i="5"/>
  <c r="K79" i="4"/>
  <c r="J79" i="4"/>
  <c r="N4" i="1"/>
  <c r="N11" i="1"/>
  <c r="N18" i="1"/>
  <c r="N22" i="1"/>
  <c r="N29" i="1"/>
  <c r="N25" i="1"/>
  <c r="N32" i="1"/>
  <c r="N8" i="1"/>
  <c r="N15" i="1"/>
  <c r="N6" i="1"/>
  <c r="N23" i="1"/>
  <c r="N27" i="1"/>
  <c r="N30" i="1"/>
  <c r="N3" i="1"/>
  <c r="N2" i="1"/>
  <c r="N19" i="1"/>
  <c r="N26" i="1"/>
  <c r="N9" i="1"/>
  <c r="N16" i="1"/>
  <c r="N13" i="1"/>
  <c r="E36" i="5"/>
  <c r="E6" i="5"/>
  <c r="Q33" i="9"/>
  <c r="P33" i="9"/>
  <c r="O33" i="9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K77" i="4"/>
  <c r="J77" i="4"/>
  <c r="F50" i="10"/>
  <c r="D41" i="10"/>
  <c r="D175" i="10"/>
  <c r="D54" i="10"/>
  <c r="D53" i="10"/>
  <c r="D121" i="10"/>
  <c r="D10" i="10"/>
  <c r="D278" i="10"/>
  <c r="D104" i="10"/>
  <c r="D291" i="10"/>
  <c r="D136" i="10"/>
  <c r="D145" i="10"/>
  <c r="D93" i="10"/>
  <c r="D77" i="10"/>
  <c r="D52" i="10"/>
  <c r="D64" i="10"/>
  <c r="D36" i="10"/>
  <c r="Q32" i="9"/>
  <c r="P32" i="9"/>
  <c r="O32" i="9"/>
  <c r="Q31" i="9"/>
  <c r="P31" i="9"/>
  <c r="O31" i="9"/>
  <c r="Q30" i="9"/>
  <c r="P30" i="9"/>
  <c r="O30" i="9"/>
  <c r="Q29" i="9"/>
  <c r="P29" i="9"/>
  <c r="O29" i="9"/>
  <c r="J302" i="10"/>
  <c r="I302" i="10"/>
  <c r="D302" i="10"/>
  <c r="S2" i="9"/>
  <c r="S3" i="9" s="1"/>
  <c r="S4" i="9" s="1"/>
  <c r="S5" i="9" s="1"/>
  <c r="S6" i="9" s="1"/>
  <c r="S7" i="9" s="1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S39" i="9" s="1"/>
  <c r="S40" i="9" s="1"/>
  <c r="S41" i="9" s="1"/>
  <c r="S42" i="9" s="1"/>
  <c r="S43" i="9" s="1"/>
  <c r="S44" i="9" s="1"/>
  <c r="R2" i="9"/>
  <c r="R3" i="9" s="1"/>
  <c r="R4" i="9" s="1"/>
  <c r="R5" i="9" s="1"/>
  <c r="R6" i="9" s="1"/>
  <c r="R7" i="9" s="1"/>
  <c r="R8" i="9" s="1"/>
  <c r="R9" i="9" s="1"/>
  <c r="R10" i="9" s="1"/>
  <c r="R11" i="9" s="1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R43" i="9" s="1"/>
  <c r="R44" i="9" s="1"/>
  <c r="Q28" i="9"/>
  <c r="P28" i="9"/>
  <c r="O28" i="9"/>
  <c r="A25" i="9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E28" i="5"/>
  <c r="Q27" i="9"/>
  <c r="P27" i="9"/>
  <c r="O27" i="9"/>
  <c r="Q26" i="9"/>
  <c r="P26" i="9"/>
  <c r="O26" i="9"/>
  <c r="Q25" i="9"/>
  <c r="P25" i="9"/>
  <c r="O25" i="9"/>
  <c r="Q24" i="9"/>
  <c r="P24" i="9"/>
  <c r="O24" i="9"/>
  <c r="Q23" i="9"/>
  <c r="P23" i="9"/>
  <c r="O23" i="9"/>
  <c r="Q22" i="9"/>
  <c r="P22" i="9"/>
  <c r="O22" i="9"/>
  <c r="Q21" i="9"/>
  <c r="P21" i="9"/>
  <c r="O21" i="9"/>
  <c r="Q20" i="9"/>
  <c r="P20" i="9"/>
  <c r="O20" i="9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Q19" i="9"/>
  <c r="P19" i="9"/>
  <c r="O19" i="9"/>
  <c r="Q18" i="9"/>
  <c r="P18" i="9"/>
  <c r="O18" i="9"/>
  <c r="Q17" i="9"/>
  <c r="P17" i="9"/>
  <c r="O17" i="9"/>
  <c r="Q16" i="9"/>
  <c r="P16" i="9"/>
  <c r="O16" i="9"/>
  <c r="Q15" i="9"/>
  <c r="P15" i="9"/>
  <c r="O15" i="9"/>
  <c r="Q14" i="9"/>
  <c r="P14" i="9"/>
  <c r="O14" i="9"/>
  <c r="Q13" i="9"/>
  <c r="P13" i="9"/>
  <c r="O13" i="9"/>
  <c r="Q12" i="9"/>
  <c r="P12" i="9"/>
  <c r="O12" i="9"/>
  <c r="Q11" i="9"/>
  <c r="P11" i="9"/>
  <c r="O11" i="9"/>
  <c r="Q10" i="9"/>
  <c r="P10" i="9"/>
  <c r="O10" i="9"/>
  <c r="Q9" i="9"/>
  <c r="P9" i="9"/>
  <c r="O9" i="9"/>
  <c r="Q8" i="9"/>
  <c r="P8" i="9"/>
  <c r="O8" i="9"/>
  <c r="Q7" i="9"/>
  <c r="P7" i="9"/>
  <c r="O7" i="9"/>
  <c r="Q6" i="9"/>
  <c r="P6" i="9"/>
  <c r="O6" i="9"/>
  <c r="Q5" i="9"/>
  <c r="P5" i="9"/>
  <c r="O5" i="9"/>
  <c r="Q4" i="9"/>
  <c r="P4" i="9"/>
  <c r="O4" i="9"/>
  <c r="Q3" i="9"/>
  <c r="P3" i="9"/>
  <c r="O3" i="9"/>
  <c r="Q2" i="9"/>
  <c r="P2" i="9"/>
  <c r="O2" i="9"/>
  <c r="D148" i="2"/>
  <c r="D147" i="2"/>
  <c r="D146" i="2"/>
  <c r="D145" i="2"/>
  <c r="D144" i="2"/>
  <c r="D143" i="2"/>
  <c r="D142" i="2"/>
  <c r="D141" i="2"/>
  <c r="D140" i="2"/>
  <c r="K78" i="4"/>
  <c r="J78" i="4"/>
  <c r="D182" i="10"/>
  <c r="K76" i="4"/>
  <c r="J76" i="4"/>
  <c r="F2" i="5"/>
  <c r="F3" i="5"/>
  <c r="F4" i="5"/>
  <c r="F5" i="5"/>
  <c r="F6" i="5"/>
  <c r="F7" i="5"/>
  <c r="F8" i="5"/>
  <c r="F10" i="5"/>
  <c r="F11" i="5"/>
  <c r="F12" i="5"/>
  <c r="F13" i="5"/>
  <c r="F15" i="5"/>
  <c r="F16" i="5"/>
  <c r="E2" i="5"/>
  <c r="E3" i="5"/>
  <c r="E27" i="5"/>
  <c r="E4" i="5"/>
  <c r="E5" i="5"/>
  <c r="E7" i="5"/>
  <c r="I55" i="5" s="1"/>
  <c r="E8" i="5"/>
  <c r="E10" i="5"/>
  <c r="E11" i="5"/>
  <c r="E12" i="5"/>
  <c r="E13" i="5"/>
  <c r="E15" i="5"/>
  <c r="E16" i="5"/>
  <c r="E17" i="5"/>
  <c r="E20" i="5"/>
  <c r="E21" i="5"/>
  <c r="E23" i="5"/>
  <c r="E24" i="5"/>
  <c r="E25" i="5"/>
  <c r="E26" i="5"/>
  <c r="E30" i="5"/>
  <c r="E31" i="5"/>
  <c r="E33" i="5"/>
  <c r="A40" i="1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H12" i="2"/>
  <c r="H3" i="2"/>
  <c r="H4" i="2"/>
  <c r="H5" i="2"/>
  <c r="H6" i="2"/>
  <c r="H7" i="2"/>
  <c r="H8" i="2"/>
  <c r="H9" i="2"/>
  <c r="H10" i="2"/>
  <c r="H11" i="2"/>
  <c r="H13" i="2"/>
  <c r="H14" i="2"/>
  <c r="H15" i="2"/>
  <c r="H16" i="2"/>
  <c r="H17" i="2"/>
  <c r="H19" i="2"/>
  <c r="H21" i="2"/>
  <c r="H22" i="2"/>
  <c r="H24" i="2"/>
  <c r="H25" i="2"/>
  <c r="H26" i="2"/>
  <c r="H23" i="2"/>
  <c r="H27" i="2"/>
  <c r="H28" i="2"/>
  <c r="H20" i="2"/>
  <c r="H30" i="2"/>
  <c r="H29" i="2"/>
  <c r="H31" i="2"/>
  <c r="H32" i="2"/>
  <c r="H33" i="2"/>
  <c r="H34" i="2"/>
  <c r="H35" i="2"/>
  <c r="H36" i="2"/>
  <c r="H38" i="2"/>
  <c r="H39" i="2"/>
  <c r="H40" i="2"/>
  <c r="H41" i="2"/>
  <c r="H42" i="2"/>
  <c r="H43" i="2"/>
  <c r="H44" i="2"/>
  <c r="H45" i="2"/>
  <c r="H48" i="2"/>
  <c r="H18" i="2"/>
  <c r="M1" i="11"/>
  <c r="J74" i="4"/>
  <c r="J36" i="10"/>
  <c r="I36" i="10"/>
  <c r="D70" i="10"/>
  <c r="D5" i="10"/>
  <c r="D208" i="10"/>
  <c r="D227" i="10"/>
  <c r="D73" i="10"/>
  <c r="D199" i="10"/>
  <c r="D192" i="10"/>
  <c r="D200" i="10"/>
  <c r="D81" i="10"/>
  <c r="D270" i="10"/>
  <c r="D119" i="10"/>
  <c r="D238" i="10"/>
  <c r="D256" i="10"/>
  <c r="D196" i="10"/>
  <c r="D285" i="10"/>
  <c r="D181" i="10"/>
  <c r="D240" i="10"/>
  <c r="D246" i="10"/>
  <c r="D114" i="10"/>
  <c r="D224" i="10"/>
  <c r="D22" i="10"/>
  <c r="D142" i="10"/>
  <c r="D56" i="10"/>
  <c r="D69" i="10"/>
  <c r="F103" i="10"/>
  <c r="D103" i="10"/>
  <c r="D99" i="10"/>
  <c r="D60" i="10"/>
  <c r="D220" i="10"/>
  <c r="D188" i="10"/>
  <c r="D185" i="10"/>
  <c r="D259" i="10"/>
  <c r="J451" i="10"/>
  <c r="I451" i="10"/>
  <c r="J450" i="10"/>
  <c r="I450" i="10"/>
  <c r="J449" i="10"/>
  <c r="I449" i="10"/>
  <c r="J448" i="10"/>
  <c r="I448" i="10"/>
  <c r="J447" i="10"/>
  <c r="I447" i="10"/>
  <c r="J446" i="10"/>
  <c r="I446" i="10"/>
  <c r="J445" i="10"/>
  <c r="I445" i="10"/>
  <c r="J444" i="10"/>
  <c r="I444" i="10"/>
  <c r="J443" i="10"/>
  <c r="I443" i="10"/>
  <c r="J442" i="10"/>
  <c r="I442" i="10"/>
  <c r="J441" i="10"/>
  <c r="I441" i="10"/>
  <c r="J440" i="10"/>
  <c r="I440" i="10"/>
  <c r="J439" i="10"/>
  <c r="I439" i="10"/>
  <c r="J438" i="10"/>
  <c r="I438" i="10"/>
  <c r="J437" i="10"/>
  <c r="I437" i="10"/>
  <c r="J436" i="10"/>
  <c r="I436" i="10"/>
  <c r="J435" i="10"/>
  <c r="I435" i="10"/>
  <c r="J434" i="10"/>
  <c r="I434" i="10"/>
  <c r="J433" i="10"/>
  <c r="I433" i="10"/>
  <c r="J432" i="10"/>
  <c r="I432" i="10"/>
  <c r="J431" i="10"/>
  <c r="I431" i="10"/>
  <c r="J430" i="10"/>
  <c r="I430" i="10"/>
  <c r="J429" i="10"/>
  <c r="I429" i="10"/>
  <c r="J428" i="10"/>
  <c r="I428" i="10"/>
  <c r="J427" i="10"/>
  <c r="I427" i="10"/>
  <c r="J426" i="10"/>
  <c r="I426" i="10"/>
  <c r="J425" i="10"/>
  <c r="I425" i="10"/>
  <c r="J424" i="10"/>
  <c r="I424" i="10"/>
  <c r="J423" i="10"/>
  <c r="I423" i="10"/>
  <c r="J422" i="10"/>
  <c r="I422" i="10"/>
  <c r="J421" i="10"/>
  <c r="I421" i="10"/>
  <c r="J420" i="10"/>
  <c r="I420" i="10"/>
  <c r="J419" i="10"/>
  <c r="I419" i="10"/>
  <c r="J418" i="10"/>
  <c r="I418" i="10"/>
  <c r="J417" i="10"/>
  <c r="I417" i="10"/>
  <c r="J416" i="10"/>
  <c r="I416" i="10"/>
  <c r="J415" i="10"/>
  <c r="I415" i="10"/>
  <c r="J414" i="10"/>
  <c r="I414" i="10"/>
  <c r="J413" i="10"/>
  <c r="I413" i="10"/>
  <c r="J412" i="10"/>
  <c r="I412" i="10"/>
  <c r="J411" i="10"/>
  <c r="I411" i="10"/>
  <c r="J410" i="10"/>
  <c r="I410" i="10"/>
  <c r="J409" i="10"/>
  <c r="I409" i="10"/>
  <c r="J408" i="10"/>
  <c r="I408" i="10"/>
  <c r="J407" i="10"/>
  <c r="I407" i="10"/>
  <c r="J406" i="10"/>
  <c r="I406" i="10"/>
  <c r="J405" i="10"/>
  <c r="I405" i="10"/>
  <c r="J404" i="10"/>
  <c r="I404" i="10"/>
  <c r="J403" i="10"/>
  <c r="I403" i="10"/>
  <c r="J402" i="10"/>
  <c r="I402" i="10"/>
  <c r="J401" i="10"/>
  <c r="I401" i="10"/>
  <c r="J400" i="10"/>
  <c r="I400" i="10"/>
  <c r="J399" i="10"/>
  <c r="I399" i="10"/>
  <c r="J398" i="10"/>
  <c r="I398" i="10"/>
  <c r="J397" i="10"/>
  <c r="I397" i="10"/>
  <c r="J396" i="10"/>
  <c r="I396" i="10"/>
  <c r="J395" i="10"/>
  <c r="I395" i="10"/>
  <c r="J394" i="10"/>
  <c r="I394" i="10"/>
  <c r="J393" i="10"/>
  <c r="I393" i="10"/>
  <c r="J392" i="10"/>
  <c r="I392" i="10"/>
  <c r="J391" i="10"/>
  <c r="I391" i="10"/>
  <c r="J390" i="10"/>
  <c r="I390" i="10"/>
  <c r="J389" i="10"/>
  <c r="I389" i="10"/>
  <c r="J388" i="10"/>
  <c r="I388" i="10"/>
  <c r="J387" i="10"/>
  <c r="I387" i="10"/>
  <c r="J386" i="10"/>
  <c r="I386" i="10"/>
  <c r="J385" i="10"/>
  <c r="I385" i="10"/>
  <c r="J384" i="10"/>
  <c r="I384" i="10"/>
  <c r="J383" i="10"/>
  <c r="I383" i="10"/>
  <c r="J382" i="10"/>
  <c r="I382" i="10"/>
  <c r="J381" i="10"/>
  <c r="I381" i="10"/>
  <c r="J380" i="10"/>
  <c r="I380" i="10"/>
  <c r="J379" i="10"/>
  <c r="I379" i="10"/>
  <c r="J378" i="10"/>
  <c r="I378" i="10"/>
  <c r="J377" i="10"/>
  <c r="I377" i="10"/>
  <c r="J376" i="10"/>
  <c r="I376" i="10"/>
  <c r="J375" i="10"/>
  <c r="I375" i="10"/>
  <c r="J374" i="10"/>
  <c r="I374" i="10"/>
  <c r="J373" i="10"/>
  <c r="I373" i="10"/>
  <c r="J372" i="10"/>
  <c r="I372" i="10"/>
  <c r="J371" i="10"/>
  <c r="I371" i="10"/>
  <c r="J370" i="10"/>
  <c r="I370" i="10"/>
  <c r="J369" i="10"/>
  <c r="I369" i="10"/>
  <c r="J368" i="10"/>
  <c r="I368" i="10"/>
  <c r="J367" i="10"/>
  <c r="I367" i="10"/>
  <c r="J366" i="10"/>
  <c r="I366" i="10"/>
  <c r="J365" i="10"/>
  <c r="I365" i="10"/>
  <c r="J364" i="10"/>
  <c r="I364" i="10"/>
  <c r="J363" i="10"/>
  <c r="I363" i="10"/>
  <c r="J362" i="10"/>
  <c r="I362" i="10"/>
  <c r="J361" i="10"/>
  <c r="I361" i="10"/>
  <c r="J360" i="10"/>
  <c r="I360" i="10"/>
  <c r="J359" i="10"/>
  <c r="I359" i="10"/>
  <c r="J358" i="10"/>
  <c r="I358" i="10"/>
  <c r="J357" i="10"/>
  <c r="I357" i="10"/>
  <c r="J356" i="10"/>
  <c r="I356" i="10"/>
  <c r="J355" i="10"/>
  <c r="I355" i="10"/>
  <c r="J354" i="10"/>
  <c r="I354" i="10"/>
  <c r="J353" i="10"/>
  <c r="I353" i="10"/>
  <c r="J352" i="10"/>
  <c r="I352" i="10"/>
  <c r="J351" i="10"/>
  <c r="I351" i="10"/>
  <c r="J350" i="10"/>
  <c r="I350" i="10"/>
  <c r="J349" i="10"/>
  <c r="I349" i="10"/>
  <c r="J348" i="10"/>
  <c r="I348" i="10"/>
  <c r="J347" i="10"/>
  <c r="I347" i="10"/>
  <c r="J346" i="10"/>
  <c r="I346" i="10"/>
  <c r="J345" i="10"/>
  <c r="I345" i="10"/>
  <c r="J344" i="10"/>
  <c r="I344" i="10"/>
  <c r="J343" i="10"/>
  <c r="I343" i="10"/>
  <c r="J342" i="10"/>
  <c r="I342" i="10"/>
  <c r="J341" i="10"/>
  <c r="I341" i="10"/>
  <c r="J340" i="10"/>
  <c r="I340" i="10"/>
  <c r="J339" i="10"/>
  <c r="I339" i="10"/>
  <c r="J338" i="10"/>
  <c r="I338" i="10"/>
  <c r="J337" i="10"/>
  <c r="I337" i="10"/>
  <c r="J336" i="10"/>
  <c r="I336" i="10"/>
  <c r="J335" i="10"/>
  <c r="I335" i="10"/>
  <c r="J334" i="10"/>
  <c r="I334" i="10"/>
  <c r="J333" i="10"/>
  <c r="I333" i="10"/>
  <c r="J332" i="10"/>
  <c r="I332" i="10"/>
  <c r="J331" i="10"/>
  <c r="I331" i="10"/>
  <c r="J330" i="10"/>
  <c r="I330" i="10"/>
  <c r="J329" i="10"/>
  <c r="I329" i="10"/>
  <c r="J328" i="10"/>
  <c r="I328" i="10"/>
  <c r="J327" i="10"/>
  <c r="I327" i="10"/>
  <c r="J326" i="10"/>
  <c r="I326" i="10"/>
  <c r="J325" i="10"/>
  <c r="I325" i="10"/>
  <c r="J324" i="10"/>
  <c r="I324" i="10"/>
  <c r="J323" i="10"/>
  <c r="I323" i="10"/>
  <c r="J322" i="10"/>
  <c r="I322" i="10"/>
  <c r="J321" i="10"/>
  <c r="I321" i="10"/>
  <c r="J320" i="10"/>
  <c r="I320" i="10"/>
  <c r="J319" i="10"/>
  <c r="I319" i="10"/>
  <c r="J318" i="10"/>
  <c r="I318" i="10"/>
  <c r="J317" i="10"/>
  <c r="I317" i="10"/>
  <c r="J316" i="10"/>
  <c r="I316" i="10"/>
  <c r="J315" i="10"/>
  <c r="I315" i="10"/>
  <c r="J314" i="10"/>
  <c r="I314" i="10"/>
  <c r="J313" i="10"/>
  <c r="I313" i="10"/>
  <c r="J312" i="10"/>
  <c r="I312" i="10"/>
  <c r="J311" i="10"/>
  <c r="I311" i="10"/>
  <c r="J310" i="10"/>
  <c r="I310" i="10"/>
  <c r="J211" i="10"/>
  <c r="I211" i="10"/>
  <c r="J112" i="10"/>
  <c r="I112" i="10"/>
  <c r="J250" i="10"/>
  <c r="I250" i="10"/>
  <c r="J307" i="10"/>
  <c r="I307" i="10"/>
  <c r="J207" i="10"/>
  <c r="I207" i="10"/>
  <c r="J131" i="10"/>
  <c r="I131" i="10"/>
  <c r="J292" i="10"/>
  <c r="I292" i="10"/>
  <c r="J13" i="10"/>
  <c r="I13" i="10"/>
  <c r="J221" i="10"/>
  <c r="I221" i="10"/>
  <c r="J255" i="10"/>
  <c r="I255" i="10"/>
  <c r="J263" i="10"/>
  <c r="I263" i="10"/>
  <c r="J295" i="10"/>
  <c r="I295" i="10"/>
  <c r="J174" i="10"/>
  <c r="I174" i="10"/>
  <c r="J63" i="10"/>
  <c r="I63" i="10"/>
  <c r="J303" i="10"/>
  <c r="I303" i="10"/>
  <c r="J62" i="10"/>
  <c r="I62" i="10"/>
  <c r="J65" i="10"/>
  <c r="I65" i="10"/>
  <c r="J3" i="10"/>
  <c r="I3" i="10"/>
  <c r="J94" i="10"/>
  <c r="I94" i="10"/>
  <c r="J267" i="10"/>
  <c r="I267" i="10"/>
  <c r="J242" i="10"/>
  <c r="I242" i="10"/>
  <c r="J58" i="10"/>
  <c r="I58" i="10"/>
  <c r="J28" i="10"/>
  <c r="I28" i="10"/>
  <c r="J29" i="10"/>
  <c r="I29" i="10"/>
  <c r="J279" i="10"/>
  <c r="I279" i="10"/>
  <c r="J88" i="10"/>
  <c r="I88" i="10"/>
  <c r="J47" i="10"/>
  <c r="I47" i="10"/>
  <c r="J173" i="10"/>
  <c r="I173" i="10"/>
  <c r="J179" i="10"/>
  <c r="I179" i="10"/>
  <c r="J183" i="10"/>
  <c r="I183" i="10"/>
  <c r="J241" i="10"/>
  <c r="I241" i="10"/>
  <c r="J177" i="10"/>
  <c r="I177" i="10"/>
  <c r="J309" i="10"/>
  <c r="I309" i="10"/>
  <c r="J126" i="10"/>
  <c r="I126" i="10"/>
  <c r="J106" i="10"/>
  <c r="I106" i="10"/>
  <c r="J190" i="10"/>
  <c r="I190" i="10"/>
  <c r="J191" i="10"/>
  <c r="I191" i="10"/>
  <c r="J96" i="10"/>
  <c r="I96" i="10"/>
  <c r="J35" i="10"/>
  <c r="I35" i="10"/>
  <c r="J202" i="10"/>
  <c r="I202" i="10"/>
  <c r="J273" i="10"/>
  <c r="I273" i="10"/>
  <c r="J46" i="10"/>
  <c r="I46" i="10"/>
  <c r="J41" i="10"/>
  <c r="I41" i="10"/>
  <c r="J175" i="10"/>
  <c r="I175" i="10"/>
  <c r="J54" i="10"/>
  <c r="I54" i="10"/>
  <c r="J53" i="10"/>
  <c r="I53" i="10"/>
  <c r="J121" i="10"/>
  <c r="I121" i="10"/>
  <c r="J10" i="10"/>
  <c r="I10" i="10"/>
  <c r="J278" i="10"/>
  <c r="I278" i="10"/>
  <c r="J104" i="10"/>
  <c r="I104" i="10"/>
  <c r="J291" i="10"/>
  <c r="I291" i="10"/>
  <c r="J136" i="10"/>
  <c r="I136" i="10"/>
  <c r="J145" i="10"/>
  <c r="I145" i="10"/>
  <c r="J93" i="10"/>
  <c r="I93" i="10"/>
  <c r="J77" i="10"/>
  <c r="I77" i="10"/>
  <c r="J52" i="10"/>
  <c r="I52" i="10"/>
  <c r="J64" i="10"/>
  <c r="I64" i="10"/>
  <c r="J70" i="10"/>
  <c r="I70" i="10"/>
  <c r="J5" i="10"/>
  <c r="I5" i="10"/>
  <c r="J208" i="10"/>
  <c r="I208" i="10"/>
  <c r="J227" i="10"/>
  <c r="I227" i="10"/>
  <c r="J73" i="10"/>
  <c r="I73" i="10"/>
  <c r="J199" i="10"/>
  <c r="I199" i="10"/>
  <c r="J192" i="10"/>
  <c r="I192" i="10"/>
  <c r="J200" i="10"/>
  <c r="I200" i="10"/>
  <c r="J81" i="10"/>
  <c r="I81" i="10"/>
  <c r="J270" i="10"/>
  <c r="I270" i="10"/>
  <c r="J119" i="10"/>
  <c r="I119" i="10"/>
  <c r="J238" i="10"/>
  <c r="I238" i="10"/>
  <c r="J256" i="10"/>
  <c r="I256" i="10"/>
  <c r="J196" i="10"/>
  <c r="I196" i="10"/>
  <c r="J285" i="10"/>
  <c r="I285" i="10"/>
  <c r="J181" i="10"/>
  <c r="I181" i="10"/>
  <c r="J240" i="10"/>
  <c r="I240" i="10"/>
  <c r="J246" i="10"/>
  <c r="I246" i="10"/>
  <c r="J114" i="10"/>
  <c r="I114" i="10"/>
  <c r="J224" i="10"/>
  <c r="I224" i="10"/>
  <c r="J22" i="10"/>
  <c r="I22" i="10"/>
  <c r="J142" i="10"/>
  <c r="I142" i="10"/>
  <c r="J56" i="10"/>
  <c r="I56" i="10"/>
  <c r="J69" i="10"/>
  <c r="I69" i="10"/>
  <c r="J103" i="10"/>
  <c r="I103" i="10"/>
  <c r="J99" i="10"/>
  <c r="I99" i="10"/>
  <c r="J60" i="10"/>
  <c r="I60" i="10"/>
  <c r="J220" i="10"/>
  <c r="I220" i="10"/>
  <c r="J188" i="10"/>
  <c r="I188" i="10"/>
  <c r="J185" i="10"/>
  <c r="I185" i="10"/>
  <c r="J259" i="10"/>
  <c r="I259" i="10"/>
  <c r="J75" i="10"/>
  <c r="I75" i="10"/>
  <c r="J206" i="10"/>
  <c r="I206" i="10"/>
  <c r="J59" i="10"/>
  <c r="I59" i="10"/>
  <c r="J98" i="10"/>
  <c r="I98" i="10"/>
  <c r="J141" i="10"/>
  <c r="I141" i="10"/>
  <c r="J86" i="10"/>
  <c r="I86" i="10"/>
  <c r="J51" i="10"/>
  <c r="I51" i="10"/>
  <c r="J244" i="10"/>
  <c r="I244" i="10"/>
  <c r="J301" i="10"/>
  <c r="I301" i="10"/>
  <c r="J147" i="10"/>
  <c r="I147" i="10"/>
  <c r="J280" i="10"/>
  <c r="I280" i="10"/>
  <c r="J187" i="10"/>
  <c r="I187" i="10"/>
  <c r="J80" i="10"/>
  <c r="I80" i="10"/>
  <c r="J293" i="10"/>
  <c r="I293" i="10"/>
  <c r="J195" i="10"/>
  <c r="I195" i="10"/>
  <c r="J180" i="10"/>
  <c r="I180" i="10"/>
  <c r="J40" i="10"/>
  <c r="I40" i="10"/>
  <c r="J66" i="10"/>
  <c r="I66" i="10"/>
  <c r="J296" i="10"/>
  <c r="I296" i="10"/>
  <c r="J162" i="10"/>
  <c r="I162" i="10"/>
  <c r="J45" i="10"/>
  <c r="I45" i="10"/>
  <c r="J216" i="10"/>
  <c r="I216" i="10"/>
  <c r="J42" i="10"/>
  <c r="I42" i="10"/>
  <c r="J120" i="10"/>
  <c r="I120" i="10"/>
  <c r="J299" i="10"/>
  <c r="I299" i="10"/>
  <c r="J300" i="10"/>
  <c r="I300" i="10"/>
  <c r="J194" i="10"/>
  <c r="I194" i="10"/>
  <c r="J287" i="10"/>
  <c r="I287" i="10"/>
  <c r="J92" i="10"/>
  <c r="I92" i="10"/>
  <c r="J157" i="10"/>
  <c r="I157" i="10"/>
  <c r="J67" i="10"/>
  <c r="I67" i="10"/>
  <c r="J298" i="10"/>
  <c r="I298" i="10"/>
  <c r="J201" i="10"/>
  <c r="I201" i="10"/>
  <c r="J159" i="10"/>
  <c r="I159" i="10"/>
  <c r="J74" i="10"/>
  <c r="I74" i="10"/>
  <c r="J261" i="10"/>
  <c r="I261" i="10"/>
  <c r="J189" i="10"/>
  <c r="I189" i="10"/>
  <c r="J167" i="10"/>
  <c r="I167" i="10"/>
  <c r="J209" i="10"/>
  <c r="I209" i="10"/>
  <c r="J90" i="10"/>
  <c r="I90" i="10"/>
  <c r="J76" i="10"/>
  <c r="I76" i="10"/>
  <c r="J172" i="10"/>
  <c r="I172" i="10"/>
  <c r="J144" i="10"/>
  <c r="I144" i="10"/>
  <c r="J153" i="10"/>
  <c r="I153" i="10"/>
  <c r="J264" i="10"/>
  <c r="I264" i="10"/>
  <c r="J213" i="10"/>
  <c r="I213" i="10"/>
  <c r="J32" i="10"/>
  <c r="I32" i="10"/>
  <c r="J18" i="10"/>
  <c r="I18" i="10"/>
  <c r="J283" i="10"/>
  <c r="I283" i="10"/>
  <c r="J84" i="10"/>
  <c r="I84" i="10"/>
  <c r="J15" i="10"/>
  <c r="I15" i="10"/>
  <c r="J289" i="10"/>
  <c r="I289" i="10"/>
  <c r="J152" i="10"/>
  <c r="I152" i="10"/>
  <c r="J247" i="10"/>
  <c r="I247" i="10"/>
  <c r="J155" i="10"/>
  <c r="I155" i="10"/>
  <c r="J168" i="10"/>
  <c r="I168" i="10"/>
  <c r="J229" i="10"/>
  <c r="I229" i="10"/>
  <c r="J49" i="10"/>
  <c r="I49" i="10"/>
  <c r="J138" i="10"/>
  <c r="I138" i="10"/>
  <c r="J9" i="10"/>
  <c r="I9" i="10"/>
  <c r="J89" i="10"/>
  <c r="I89" i="10"/>
  <c r="J97" i="10"/>
  <c r="I97" i="10"/>
  <c r="J95" i="10"/>
  <c r="I95" i="10"/>
  <c r="J135" i="10"/>
  <c r="I135" i="10"/>
  <c r="J134" i="10"/>
  <c r="I134" i="10"/>
  <c r="J130" i="10"/>
  <c r="I130" i="10"/>
  <c r="J217" i="10"/>
  <c r="I217" i="10"/>
  <c r="J30" i="10"/>
  <c r="I30" i="10"/>
  <c r="J78" i="10"/>
  <c r="I78" i="10"/>
  <c r="J129" i="10"/>
  <c r="I129" i="10"/>
  <c r="J186" i="10"/>
  <c r="I186" i="10"/>
  <c r="J269" i="10"/>
  <c r="I269" i="10"/>
  <c r="J290" i="10"/>
  <c r="I290" i="10"/>
  <c r="J304" i="10"/>
  <c r="I304" i="10"/>
  <c r="J308" i="10"/>
  <c r="I308" i="10"/>
  <c r="J140" i="10"/>
  <c r="I140" i="10"/>
  <c r="J12" i="10"/>
  <c r="I12" i="10"/>
  <c r="J17" i="10"/>
  <c r="I17" i="10"/>
  <c r="J205" i="10"/>
  <c r="I205" i="10"/>
  <c r="J124" i="10"/>
  <c r="I124" i="10"/>
  <c r="J11" i="10"/>
  <c r="I11" i="10"/>
  <c r="J8" i="10"/>
  <c r="I8" i="10"/>
  <c r="J37" i="10"/>
  <c r="I37" i="10"/>
  <c r="J38" i="10"/>
  <c r="I38" i="10"/>
  <c r="J163" i="10"/>
  <c r="I163" i="10"/>
  <c r="J83" i="10"/>
  <c r="I83" i="10"/>
  <c r="J39" i="10"/>
  <c r="I39" i="10"/>
  <c r="J237" i="10"/>
  <c r="I237" i="10"/>
  <c r="J214" i="10"/>
  <c r="I214" i="10"/>
  <c r="J57" i="10"/>
  <c r="I57" i="10"/>
  <c r="J234" i="10"/>
  <c r="I234" i="10"/>
  <c r="J108" i="10"/>
  <c r="I108" i="10"/>
  <c r="J282" i="10"/>
  <c r="I282" i="10"/>
  <c r="J252" i="10"/>
  <c r="I252" i="10"/>
  <c r="J82" i="10"/>
  <c r="I82" i="10"/>
  <c r="J146" i="10"/>
  <c r="I146" i="10"/>
  <c r="J305" i="10"/>
  <c r="I305" i="10"/>
  <c r="J271" i="10"/>
  <c r="I271" i="10"/>
  <c r="J160" i="10"/>
  <c r="I160" i="10"/>
  <c r="J117" i="10"/>
  <c r="I117" i="10"/>
  <c r="J101" i="10"/>
  <c r="I101" i="10"/>
  <c r="J182" i="10"/>
  <c r="I182" i="10"/>
  <c r="J4" i="10"/>
  <c r="I4" i="10"/>
  <c r="J226" i="10"/>
  <c r="I226" i="10"/>
  <c r="J239" i="10"/>
  <c r="I239" i="10"/>
  <c r="J20" i="10"/>
  <c r="I20" i="10"/>
  <c r="J111" i="10"/>
  <c r="I111" i="10"/>
  <c r="J288" i="10"/>
  <c r="I288" i="10"/>
  <c r="J197" i="10"/>
  <c r="I197" i="10"/>
  <c r="J118" i="10"/>
  <c r="I118" i="10"/>
  <c r="J110" i="10"/>
  <c r="I110" i="10"/>
  <c r="J236" i="10"/>
  <c r="I236" i="10"/>
  <c r="J294" i="10"/>
  <c r="I294" i="10"/>
  <c r="J164" i="10"/>
  <c r="I164" i="10"/>
  <c r="J225" i="10"/>
  <c r="I225" i="10"/>
  <c r="J178" i="10"/>
  <c r="I178" i="10"/>
  <c r="J257" i="10"/>
  <c r="I257" i="10"/>
  <c r="J2" i="10"/>
  <c r="I2" i="10"/>
  <c r="J116" i="10"/>
  <c r="I116" i="10"/>
  <c r="J277" i="10"/>
  <c r="I277" i="10"/>
  <c r="J275" i="10"/>
  <c r="I275" i="10"/>
  <c r="J91" i="10"/>
  <c r="I91" i="10"/>
  <c r="J133" i="10"/>
  <c r="I133" i="10"/>
  <c r="J204" i="10"/>
  <c r="I204" i="10"/>
  <c r="J107" i="10"/>
  <c r="I107" i="10"/>
  <c r="J258" i="10"/>
  <c r="I258" i="10"/>
  <c r="J44" i="10"/>
  <c r="I44" i="10"/>
  <c r="J233" i="10"/>
  <c r="I233" i="10"/>
  <c r="J137" i="10"/>
  <c r="I137" i="10"/>
  <c r="J105" i="10"/>
  <c r="I105" i="10"/>
  <c r="J176" i="10"/>
  <c r="I176" i="10"/>
  <c r="J228" i="10"/>
  <c r="I228" i="10"/>
  <c r="J166" i="10"/>
  <c r="I166" i="10"/>
  <c r="J284" i="10"/>
  <c r="I284" i="10"/>
  <c r="J265" i="10"/>
  <c r="I265" i="10"/>
  <c r="J6" i="10"/>
  <c r="I6" i="10"/>
  <c r="J61" i="10"/>
  <c r="I61" i="10"/>
  <c r="J123" i="10"/>
  <c r="I123" i="10"/>
  <c r="J222" i="10"/>
  <c r="I222" i="10"/>
  <c r="J232" i="10"/>
  <c r="I232" i="10"/>
  <c r="J254" i="10"/>
  <c r="I254" i="10"/>
  <c r="J268" i="10"/>
  <c r="I268" i="10"/>
  <c r="J143" i="10"/>
  <c r="I143" i="10"/>
  <c r="J230" i="10"/>
  <c r="I230" i="10"/>
  <c r="J27" i="10"/>
  <c r="I27" i="10"/>
  <c r="J55" i="10"/>
  <c r="I55" i="10"/>
  <c r="J7" i="10"/>
  <c r="I7" i="10"/>
  <c r="J161" i="10"/>
  <c r="I161" i="10"/>
  <c r="J297" i="10"/>
  <c r="I297" i="10"/>
  <c r="J286" i="10"/>
  <c r="I286" i="10"/>
  <c r="J72" i="10"/>
  <c r="I72" i="10"/>
  <c r="J251" i="10"/>
  <c r="I251" i="10"/>
  <c r="J274" i="10"/>
  <c r="I274" i="10"/>
  <c r="J125" i="10"/>
  <c r="I125" i="10"/>
  <c r="J235" i="10"/>
  <c r="I235" i="10"/>
  <c r="J43" i="10"/>
  <c r="I43" i="10"/>
  <c r="J203" i="10"/>
  <c r="I203" i="10"/>
  <c r="J151" i="10"/>
  <c r="I151" i="10"/>
  <c r="J16" i="10"/>
  <c r="I16" i="10"/>
  <c r="J149" i="10"/>
  <c r="I149" i="10"/>
  <c r="J223" i="10"/>
  <c r="I223" i="10"/>
  <c r="J34" i="10"/>
  <c r="I34" i="10"/>
  <c r="J26" i="10"/>
  <c r="I26" i="10"/>
  <c r="J139" i="10"/>
  <c r="I139" i="10"/>
  <c r="J150" i="10"/>
  <c r="I150" i="10"/>
  <c r="J248" i="10"/>
  <c r="I248" i="10"/>
  <c r="J33" i="10"/>
  <c r="I33" i="10"/>
  <c r="J31" i="10"/>
  <c r="I31" i="10"/>
  <c r="J23" i="10"/>
  <c r="I23" i="10"/>
  <c r="J148" i="10"/>
  <c r="I148" i="10"/>
  <c r="J198" i="10"/>
  <c r="I198" i="10"/>
  <c r="J170" i="10"/>
  <c r="I170" i="10"/>
  <c r="J128" i="10"/>
  <c r="I128" i="10"/>
  <c r="J243" i="10"/>
  <c r="I243" i="10"/>
  <c r="J212" i="10"/>
  <c r="I212" i="10"/>
  <c r="J21" i="10"/>
  <c r="I21" i="10"/>
  <c r="J127" i="10"/>
  <c r="I127" i="10"/>
  <c r="J24" i="10"/>
  <c r="I24" i="10"/>
  <c r="J306" i="10"/>
  <c r="I306" i="10"/>
  <c r="J79" i="10"/>
  <c r="I79" i="10"/>
  <c r="J115" i="10"/>
  <c r="I115" i="10"/>
  <c r="J68" i="10"/>
  <c r="I68" i="10"/>
  <c r="J219" i="10"/>
  <c r="I219" i="10"/>
  <c r="J158" i="10"/>
  <c r="I158" i="10"/>
  <c r="J19" i="10"/>
  <c r="I19" i="10"/>
  <c r="J50" i="10"/>
  <c r="I50" i="10"/>
  <c r="J169" i="10"/>
  <c r="I169" i="10"/>
  <c r="J87" i="10"/>
  <c r="I87" i="10"/>
  <c r="J71" i="10"/>
  <c r="I71" i="10"/>
  <c r="J260" i="10"/>
  <c r="I260" i="10"/>
  <c r="J109" i="10"/>
  <c r="I109" i="10"/>
  <c r="J193" i="10"/>
  <c r="I193" i="10"/>
  <c r="J122" i="10"/>
  <c r="I122" i="10"/>
  <c r="J184" i="10"/>
  <c r="I184" i="10"/>
  <c r="J132" i="10"/>
  <c r="I132" i="10"/>
  <c r="J231" i="10"/>
  <c r="I231" i="10"/>
  <c r="J85" i="10"/>
  <c r="I85" i="10"/>
  <c r="J165" i="10"/>
  <c r="I165" i="10"/>
  <c r="J113" i="10"/>
  <c r="I113" i="10"/>
  <c r="D75" i="10"/>
  <c r="D206" i="10"/>
  <c r="D59" i="10"/>
  <c r="D98" i="10"/>
  <c r="D141" i="10"/>
  <c r="D86" i="10"/>
  <c r="D51" i="10"/>
  <c r="D244" i="10"/>
  <c r="D301" i="10"/>
  <c r="D147" i="10"/>
  <c r="D280" i="10"/>
  <c r="D187" i="10"/>
  <c r="D80" i="10"/>
  <c r="D293" i="10"/>
  <c r="D195" i="10"/>
  <c r="D180" i="10"/>
  <c r="D40" i="10"/>
  <c r="D66" i="10"/>
  <c r="D296" i="10"/>
  <c r="D162" i="10"/>
  <c r="D45" i="10"/>
  <c r="D216" i="10"/>
  <c r="D42" i="10"/>
  <c r="D120" i="10"/>
  <c r="D299" i="10"/>
  <c r="D300" i="10"/>
  <c r="D194" i="10"/>
  <c r="D287" i="10"/>
  <c r="D92" i="10"/>
  <c r="D157" i="10"/>
  <c r="D67" i="10"/>
  <c r="D298" i="10"/>
  <c r="D201" i="10"/>
  <c r="D159" i="10"/>
  <c r="D74" i="10"/>
  <c r="D261" i="10"/>
  <c r="D189" i="10"/>
  <c r="D167" i="10"/>
  <c r="D209" i="10"/>
  <c r="D90" i="10"/>
  <c r="D76" i="10"/>
  <c r="D172" i="10"/>
  <c r="D144" i="10"/>
  <c r="D153" i="10"/>
  <c r="D264" i="10"/>
  <c r="D213" i="10"/>
  <c r="D32" i="10"/>
  <c r="D18" i="10"/>
  <c r="D283" i="10"/>
  <c r="D84" i="10"/>
  <c r="D15" i="10"/>
  <c r="D289" i="10"/>
  <c r="D152" i="10"/>
  <c r="D247" i="10"/>
  <c r="D155" i="10"/>
  <c r="D168" i="10"/>
  <c r="D229" i="10"/>
  <c r="D49" i="10"/>
  <c r="D138" i="10"/>
  <c r="D9" i="10"/>
  <c r="D89" i="10"/>
  <c r="D97" i="10"/>
  <c r="D95" i="10"/>
  <c r="D135" i="10"/>
  <c r="D134" i="10"/>
  <c r="D130" i="10"/>
  <c r="D217" i="10"/>
  <c r="D30" i="10"/>
  <c r="D78" i="10"/>
  <c r="D129" i="10"/>
  <c r="D186" i="10"/>
  <c r="D269" i="10"/>
  <c r="D290" i="10"/>
  <c r="D304" i="10"/>
  <c r="F308" i="10"/>
  <c r="F140" i="10"/>
  <c r="D140" i="10"/>
  <c r="F12" i="10"/>
  <c r="D12" i="10"/>
  <c r="F17" i="10"/>
  <c r="F205" i="10"/>
  <c r="D281" i="10"/>
  <c r="D124" i="10"/>
  <c r="F124" i="10"/>
  <c r="D210" i="10"/>
  <c r="D25" i="10"/>
  <c r="F11" i="10"/>
  <c r="D11" i="10"/>
  <c r="D8" i="10"/>
  <c r="D37" i="10"/>
  <c r="D38" i="10"/>
  <c r="F163" i="10"/>
  <c r="D163" i="10"/>
  <c r="D83" i="10"/>
  <c r="F237" i="10"/>
  <c r="D237" i="10"/>
  <c r="D214" i="10"/>
  <c r="D57" i="10"/>
  <c r="F108" i="10"/>
  <c r="D108" i="10"/>
  <c r="D282" i="10"/>
  <c r="D252" i="10"/>
  <c r="D82" i="10"/>
  <c r="D146" i="10"/>
  <c r="F160" i="10"/>
  <c r="D117" i="10"/>
  <c r="D101" i="10"/>
  <c r="F182" i="10"/>
  <c r="F4" i="10"/>
  <c r="D4" i="10"/>
  <c r="D226" i="10"/>
  <c r="F239" i="10"/>
  <c r="D288" i="10"/>
  <c r="D197" i="10"/>
  <c r="D294" i="10"/>
  <c r="F236" i="10"/>
  <c r="D225" i="10"/>
  <c r="D178" i="10"/>
  <c r="D2" i="10"/>
  <c r="F277" i="10"/>
  <c r="F275" i="10"/>
  <c r="D275" i="10"/>
  <c r="D91" i="10"/>
  <c r="F133" i="10"/>
  <c r="D107" i="10"/>
  <c r="F44" i="10"/>
  <c r="D44" i="10"/>
  <c r="D14" i="10"/>
  <c r="D166" i="10"/>
  <c r="D265" i="10"/>
  <c r="D137" i="10"/>
  <c r="D6" i="10"/>
  <c r="D105" i="10"/>
  <c r="D176" i="10"/>
  <c r="D61" i="10"/>
  <c r="F123" i="10"/>
  <c r="D222" i="10"/>
  <c r="D232" i="10"/>
  <c r="D268" i="10"/>
  <c r="D143" i="10"/>
  <c r="F230" i="10"/>
  <c r="D230" i="10"/>
  <c r="D27" i="10"/>
  <c r="F55" i="10"/>
  <c r="D55" i="10"/>
  <c r="F7" i="10"/>
  <c r="D7" i="10"/>
  <c r="D161" i="10"/>
  <c r="D286" i="10"/>
  <c r="D72" i="10"/>
  <c r="D251" i="10"/>
  <c r="D235" i="10"/>
  <c r="F43" i="10"/>
  <c r="D203" i="10"/>
  <c r="F151" i="10"/>
  <c r="D16" i="10"/>
  <c r="F149" i="10"/>
  <c r="D149" i="10"/>
  <c r="D223" i="10"/>
  <c r="D26" i="10"/>
  <c r="F139" i="10"/>
  <c r="D139" i="10"/>
  <c r="F150" i="10"/>
  <c r="D150" i="10"/>
  <c r="D248" i="10"/>
  <c r="D33" i="10"/>
  <c r="D31" i="10"/>
  <c r="D23" i="10"/>
  <c r="D243" i="10"/>
  <c r="D234" i="10"/>
  <c r="D20" i="10"/>
  <c r="D164" i="10"/>
  <c r="D85" i="10"/>
  <c r="D110" i="10"/>
  <c r="D228" i="10"/>
  <c r="D212" i="10"/>
  <c r="D257" i="10"/>
  <c r="D198" i="10"/>
  <c r="F128" i="10"/>
  <c r="D128" i="10"/>
  <c r="F21" i="10"/>
  <c r="F219" i="10"/>
  <c r="D170" i="10"/>
  <c r="D21" i="10"/>
  <c r="D127" i="10"/>
  <c r="D306" i="10"/>
  <c r="D79" i="10"/>
  <c r="D115" i="10"/>
  <c r="D68" i="10"/>
  <c r="D158" i="10"/>
  <c r="D19" i="10"/>
  <c r="F271" i="10"/>
  <c r="F233" i="10"/>
  <c r="D233" i="10"/>
  <c r="D50" i="10"/>
  <c r="D169" i="10"/>
  <c r="D87" i="10"/>
  <c r="D122" i="10"/>
  <c r="D71" i="10"/>
  <c r="D260" i="10"/>
  <c r="D109" i="10"/>
  <c r="D193" i="10"/>
  <c r="F122" i="10"/>
  <c r="D184" i="10"/>
  <c r="F132" i="10"/>
  <c r="F231" i="10"/>
  <c r="F165" i="10"/>
  <c r="F39" i="10"/>
  <c r="D165" i="10"/>
  <c r="D113" i="10"/>
  <c r="D258" i="10"/>
  <c r="D39" i="10"/>
  <c r="D125" i="10"/>
  <c r="D116" i="10"/>
  <c r="D24" i="10"/>
  <c r="D148" i="10"/>
  <c r="D34" i="10"/>
  <c r="D297" i="10"/>
  <c r="D284" i="10"/>
  <c r="D118" i="10"/>
  <c r="D274" i="10"/>
  <c r="D111" i="10"/>
  <c r="D254" i="10"/>
  <c r="J75" i="4"/>
  <c r="J73" i="4"/>
  <c r="J71" i="4"/>
  <c r="L34" i="1"/>
  <c r="L37" i="1" s="1"/>
  <c r="J34" i="1"/>
  <c r="J37" i="1" s="1"/>
  <c r="G34" i="1"/>
  <c r="G37" i="1" s="1"/>
  <c r="E34" i="1"/>
  <c r="E37" i="1" s="1"/>
  <c r="C34" i="1"/>
  <c r="C37" i="1" s="1"/>
  <c r="M34" i="1"/>
  <c r="M37" i="1" s="1"/>
  <c r="K34" i="1"/>
  <c r="K37" i="1" s="1"/>
  <c r="I34" i="1"/>
  <c r="I37" i="1" s="1"/>
  <c r="H34" i="1"/>
  <c r="H37" i="1" s="1"/>
  <c r="F34" i="1"/>
  <c r="F37" i="1" s="1"/>
  <c r="D34" i="1"/>
  <c r="D37" i="1" s="1"/>
  <c r="B34" i="1"/>
  <c r="B37" i="1" s="1"/>
  <c r="M38" i="1"/>
  <c r="L38" i="1"/>
  <c r="K38" i="1"/>
  <c r="J38" i="1"/>
  <c r="I38" i="1"/>
  <c r="H38" i="1"/>
  <c r="G38" i="1"/>
  <c r="F38" i="1"/>
  <c r="E38" i="1"/>
  <c r="D38" i="1"/>
  <c r="C38" i="1"/>
  <c r="B38" i="1"/>
  <c r="M36" i="1"/>
  <c r="L36" i="1"/>
  <c r="K36" i="1"/>
  <c r="J36" i="1"/>
  <c r="I36" i="1"/>
  <c r="H36" i="1"/>
  <c r="G36" i="1"/>
  <c r="F36" i="1"/>
  <c r="E36" i="1"/>
  <c r="D36" i="1"/>
  <c r="C36" i="1"/>
  <c r="B36" i="1"/>
  <c r="J70" i="4"/>
  <c r="J72" i="4"/>
  <c r="J68" i="4"/>
  <c r="J67" i="4"/>
  <c r="J66" i="4"/>
  <c r="J65" i="4"/>
  <c r="J69" i="4"/>
  <c r="I97" i="4"/>
  <c r="H97" i="4"/>
  <c r="G97" i="4"/>
  <c r="F97" i="4"/>
  <c r="E97" i="4"/>
  <c r="D97" i="4"/>
  <c r="I96" i="4"/>
  <c r="H96" i="4"/>
  <c r="G96" i="4"/>
  <c r="F96" i="4"/>
  <c r="E96" i="4"/>
  <c r="D96" i="4"/>
  <c r="C96" i="4"/>
  <c r="I95" i="4"/>
  <c r="H95" i="4"/>
  <c r="G95" i="4"/>
  <c r="F95" i="4"/>
  <c r="E95" i="4"/>
  <c r="D95" i="4"/>
  <c r="C95" i="4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I92" i="4"/>
  <c r="H92" i="4"/>
  <c r="G92" i="4"/>
  <c r="F92" i="4"/>
  <c r="E92" i="4"/>
  <c r="D92" i="4"/>
  <c r="C92" i="4"/>
  <c r="F8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8" i="3" s="1"/>
  <c r="F12" i="3"/>
  <c r="F11" i="3"/>
  <c r="F4" i="3"/>
  <c r="F5" i="3"/>
  <c r="F10" i="3"/>
  <c r="F9" i="3"/>
  <c r="F7" i="3"/>
  <c r="F6" i="3"/>
  <c r="F3" i="3"/>
  <c r="A48" i="2" l="1"/>
  <c r="A52" i="2"/>
  <c r="A49" i="2"/>
  <c r="A51" i="2"/>
  <c r="A47" i="2"/>
  <c r="A50" i="2"/>
  <c r="A46" i="2"/>
  <c r="A45" i="2"/>
  <c r="A44" i="2"/>
  <c r="H51" i="5"/>
  <c r="H48" i="5"/>
  <c r="F53" i="5"/>
  <c r="E53" i="5" s="1"/>
  <c r="H50" i="5"/>
  <c r="H47" i="5"/>
  <c r="H45" i="5"/>
  <c r="A41" i="2"/>
  <c r="A35" i="2"/>
  <c r="A31" i="2"/>
  <c r="A22" i="2"/>
  <c r="A24" i="2"/>
  <c r="A19" i="2"/>
  <c r="A15" i="2"/>
  <c r="A11" i="2"/>
  <c r="A7" i="2"/>
  <c r="A3" i="2"/>
  <c r="A34" i="2"/>
  <c r="A30" i="2"/>
  <c r="A27" i="2"/>
  <c r="A23" i="2"/>
  <c r="A18" i="2"/>
  <c r="A14" i="2"/>
  <c r="A10" i="2"/>
  <c r="A6" i="2"/>
  <c r="A37" i="2"/>
  <c r="A33" i="2"/>
  <c r="A29" i="2"/>
  <c r="A26" i="2"/>
  <c r="A20" i="2"/>
  <c r="A17" i="2"/>
  <c r="A13" i="2"/>
  <c r="A9" i="2"/>
  <c r="A5" i="2"/>
  <c r="A36" i="2"/>
  <c r="A32" i="2"/>
  <c r="A28" i="2"/>
  <c r="A25" i="2"/>
  <c r="A21" i="2"/>
  <c r="A16" i="2"/>
  <c r="A12" i="2"/>
  <c r="A8" i="2"/>
  <c r="A4" i="2"/>
  <c r="A40" i="2"/>
  <c r="A43" i="2"/>
  <c r="A39" i="2"/>
  <c r="A42" i="2"/>
  <c r="A38" i="2"/>
  <c r="J48" i="2"/>
  <c r="J42" i="2"/>
  <c r="J38" i="2"/>
  <c r="J33" i="2"/>
  <c r="J30" i="2"/>
  <c r="J23" i="2"/>
  <c r="J22" i="2"/>
  <c r="J16" i="2"/>
  <c r="J11" i="2"/>
  <c r="J7" i="2"/>
  <c r="J3" i="2"/>
  <c r="J45" i="2"/>
  <c r="J41" i="2"/>
  <c r="J36" i="2"/>
  <c r="J32" i="2"/>
  <c r="J20" i="2"/>
  <c r="J26" i="2"/>
  <c r="J21" i="2"/>
  <c r="J15" i="2"/>
  <c r="J10" i="2"/>
  <c r="J6" i="2"/>
  <c r="J12" i="2"/>
  <c r="J44" i="2"/>
  <c r="J40" i="2"/>
  <c r="J35" i="2"/>
  <c r="J31" i="2"/>
  <c r="J28" i="2"/>
  <c r="J25" i="2"/>
  <c r="J19" i="2"/>
  <c r="J14" i="2"/>
  <c r="J9" i="2"/>
  <c r="J5" i="2"/>
  <c r="J43" i="2"/>
  <c r="J39" i="2"/>
  <c r="J34" i="2"/>
  <c r="J29" i="2"/>
  <c r="J27" i="2"/>
  <c r="J24" i="2"/>
  <c r="J17" i="2"/>
  <c r="J13" i="2"/>
  <c r="J8" i="2"/>
  <c r="J4" i="2"/>
  <c r="H44" i="5"/>
  <c r="H43" i="5"/>
  <c r="H16" i="5"/>
  <c r="H6" i="5"/>
  <c r="H15" i="5"/>
  <c r="H10" i="5"/>
  <c r="H5" i="5"/>
  <c r="N13" i="2"/>
  <c r="H13" i="5"/>
  <c r="H8" i="5"/>
  <c r="H4" i="5"/>
  <c r="N28" i="9"/>
  <c r="H11" i="5"/>
  <c r="H2" i="5"/>
  <c r="H24" i="5"/>
  <c r="H36" i="5"/>
  <c r="H17" i="5"/>
  <c r="H28" i="5"/>
  <c r="H41" i="5"/>
  <c r="H26" i="5"/>
  <c r="H21" i="5"/>
  <c r="H40" i="5"/>
  <c r="H37" i="5"/>
  <c r="H33" i="5"/>
  <c r="H38" i="5"/>
  <c r="H31" i="5"/>
  <c r="H20" i="5"/>
  <c r="H42" i="5"/>
  <c r="H23" i="5"/>
  <c r="H25" i="5"/>
  <c r="H27" i="5"/>
  <c r="H30" i="5"/>
  <c r="N15" i="2"/>
  <c r="H12" i="5"/>
  <c r="H7" i="5"/>
  <c r="H3" i="5"/>
  <c r="A21" i="5"/>
  <c r="A23" i="5" s="1"/>
  <c r="A24" i="5" s="1"/>
  <c r="N30" i="9"/>
  <c r="N17" i="2"/>
  <c r="N20" i="9"/>
  <c r="N31" i="9"/>
  <c r="N3" i="2"/>
  <c r="N32" i="9"/>
  <c r="N33" i="9"/>
  <c r="N35" i="9"/>
  <c r="N8" i="2"/>
  <c r="J18" i="2"/>
  <c r="N10" i="2"/>
  <c r="N2" i="9"/>
  <c r="N4" i="9"/>
  <c r="N6" i="9"/>
  <c r="N8" i="9"/>
  <c r="N10" i="9"/>
  <c r="N12" i="9"/>
  <c r="N14" i="9"/>
  <c r="N16" i="9"/>
  <c r="N18" i="9"/>
  <c r="N22" i="9"/>
  <c r="N23" i="9"/>
  <c r="N24" i="9"/>
  <c r="N26" i="9"/>
  <c r="N34" i="9"/>
  <c r="K99" i="4"/>
  <c r="N7" i="2"/>
  <c r="N5" i="2"/>
  <c r="N9" i="2"/>
  <c r="N11" i="2"/>
  <c r="N14" i="2"/>
  <c r="N16" i="2"/>
  <c r="N18" i="2"/>
  <c r="N27" i="9"/>
  <c r="N29" i="9"/>
  <c r="K97" i="4"/>
  <c r="K100" i="4"/>
  <c r="N38" i="1"/>
  <c r="K96" i="4"/>
  <c r="K105" i="4"/>
  <c r="K101" i="4"/>
  <c r="J92" i="4"/>
  <c r="D93" i="4" s="1"/>
  <c r="K103" i="4"/>
  <c r="K104" i="4"/>
  <c r="K102" i="4"/>
  <c r="N4" i="2"/>
  <c r="N6" i="2"/>
  <c r="N3" i="9"/>
  <c r="N5" i="9"/>
  <c r="N7" i="9"/>
  <c r="N9" i="9"/>
  <c r="N11" i="9"/>
  <c r="N13" i="9"/>
  <c r="N15" i="9"/>
  <c r="N17" i="9"/>
  <c r="N19" i="9"/>
  <c r="N21" i="9"/>
  <c r="N25" i="9"/>
  <c r="N34" i="1"/>
  <c r="O34" i="1" s="1"/>
  <c r="N36" i="1"/>
  <c r="K37" i="2" l="1"/>
  <c r="K52" i="2"/>
  <c r="K48" i="2"/>
  <c r="K44" i="2"/>
  <c r="K40" i="2"/>
  <c r="K35" i="2"/>
  <c r="K31" i="2"/>
  <c r="K27" i="2"/>
  <c r="K23" i="2"/>
  <c r="K19" i="2"/>
  <c r="K15" i="2"/>
  <c r="K11" i="2"/>
  <c r="K7" i="2"/>
  <c r="K3" i="2"/>
  <c r="K36" i="2"/>
  <c r="K24" i="2"/>
  <c r="K12" i="2"/>
  <c r="K8" i="2"/>
  <c r="K51" i="2"/>
  <c r="K47" i="2"/>
  <c r="K43" i="2"/>
  <c r="K39" i="2"/>
  <c r="K34" i="2"/>
  <c r="K30" i="2"/>
  <c r="K26" i="2"/>
  <c r="K22" i="2"/>
  <c r="K18" i="2"/>
  <c r="K14" i="2"/>
  <c r="K10" i="2"/>
  <c r="K6" i="2"/>
  <c r="K32" i="2"/>
  <c r="K20" i="2"/>
  <c r="K50" i="2"/>
  <c r="K46" i="2"/>
  <c r="K42" i="2"/>
  <c r="K38" i="2"/>
  <c r="K33" i="2"/>
  <c r="K29" i="2"/>
  <c r="K25" i="2"/>
  <c r="K21" i="2"/>
  <c r="K17" i="2"/>
  <c r="K13" i="2"/>
  <c r="K9" i="2"/>
  <c r="K5" i="2"/>
  <c r="K45" i="2"/>
  <c r="K41" i="2"/>
  <c r="K28" i="2"/>
  <c r="K16" i="2"/>
  <c r="K4" i="2"/>
  <c r="K49" i="2"/>
  <c r="A25" i="5"/>
  <c r="A26" i="5" s="1"/>
  <c r="A27" i="5" s="1"/>
  <c r="C93" i="4"/>
  <c r="H93" i="4"/>
  <c r="G93" i="4"/>
  <c r="E93" i="4"/>
  <c r="I93" i="4"/>
  <c r="F93" i="4"/>
  <c r="J93" i="4"/>
  <c r="N37" i="1"/>
  <c r="A28" i="5" l="1"/>
  <c r="A30" i="5" s="1"/>
  <c r="A31" i="5" s="1"/>
  <c r="A33" i="5" s="1"/>
  <c r="A36" i="5" s="1"/>
  <c r="A37" i="5" s="1"/>
  <c r="A38" i="5" s="1"/>
  <c r="A40" i="5" s="1"/>
  <c r="A41" i="5" s="1"/>
  <c r="A42" i="5" s="1"/>
  <c r="A43" i="5" s="1"/>
  <c r="A44" i="5" s="1"/>
  <c r="A45" i="5" s="1"/>
  <c r="A47" i="5" s="1"/>
  <c r="A48" i="5" s="1"/>
  <c r="A50" i="5" s="1"/>
  <c r="N86" i="5" l="1"/>
  <c r="N45" i="5" s="1"/>
  <c r="M86" i="5" l="1"/>
  <c r="M45" i="5" s="1"/>
  <c r="R81" i="5"/>
  <c r="O86" i="5"/>
  <c r="O45" i="5" s="1"/>
  <c r="Q86" i="5" l="1"/>
  <c r="Q45" i="5" s="1"/>
  <c r="R86" i="5"/>
  <c r="L81" i="5"/>
  <c r="P86" i="5"/>
  <c r="P45" i="5" s="1"/>
  <c r="L45" i="5"/>
  <c r="T45" i="5" l="1"/>
  <c r="L86" i="5"/>
  <c r="T86" i="5" s="1"/>
  <c r="T81" i="5"/>
  <c r="S81" i="5"/>
  <c r="R45" i="5"/>
  <c r="S86" i="5" l="1"/>
  <c r="S45" i="5"/>
  <c r="N78" i="5" l="1"/>
  <c r="N47" i="5" s="1"/>
  <c r="O78" i="5" l="1"/>
  <c r="O47" i="5" s="1"/>
  <c r="M78" i="5" l="1"/>
  <c r="R76" i="5"/>
  <c r="L76" i="5"/>
  <c r="T76" i="5" s="1"/>
  <c r="R78" i="5" l="1"/>
  <c r="S76" i="5"/>
  <c r="L47" i="5"/>
  <c r="L78" i="5"/>
  <c r="T78" i="5" s="1"/>
  <c r="T47" i="5" l="1"/>
  <c r="S47" i="5"/>
  <c r="S78" i="5"/>
  <c r="Q78" i="5" l="1"/>
  <c r="Q47" i="5" s="1"/>
  <c r="P78" i="5" l="1"/>
  <c r="O51" i="5" l="1"/>
  <c r="N51" i="5" l="1"/>
  <c r="L57" i="5" l="1"/>
  <c r="T57" i="5" s="1"/>
  <c r="R57" i="5"/>
  <c r="R60" i="5" s="1"/>
  <c r="S57" i="5" l="1"/>
  <c r="M51" i="5"/>
  <c r="T60" i="5" l="1"/>
  <c r="S60" i="5"/>
  <c r="L51" i="5"/>
  <c r="T51" i="5" s="1"/>
  <c r="R51" i="5"/>
  <c r="S51" i="5" l="1"/>
  <c r="N67" i="5" l="1"/>
  <c r="N50" i="5" s="1"/>
  <c r="N53" i="5" s="1"/>
  <c r="O67" i="5"/>
  <c r="O50" i="5" s="1"/>
  <c r="L64" i="5" l="1"/>
  <c r="T64" i="5" s="1"/>
  <c r="M67" i="5"/>
  <c r="R64" i="5"/>
  <c r="R67" i="5" l="1"/>
  <c r="S64" i="5"/>
  <c r="M50" i="5"/>
  <c r="L67" i="5"/>
  <c r="S67" i="5" l="1"/>
  <c r="R50" i="5"/>
  <c r="L50" i="5"/>
  <c r="L53" i="5" s="1"/>
  <c r="M53" i="5"/>
  <c r="T67" i="5"/>
  <c r="P67" i="5" l="1"/>
  <c r="P50" i="5" s="1"/>
  <c r="R53" i="5"/>
  <c r="S50" i="5"/>
  <c r="Q67" i="5"/>
  <c r="Q50" i="5" s="1"/>
  <c r="T50" i="5"/>
  <c r="Q51" i="5"/>
  <c r="U51" i="5" l="1"/>
  <c r="U42" i="5"/>
  <c r="U21" i="5"/>
  <c r="U33" i="5"/>
  <c r="U11" i="5"/>
  <c r="U5" i="5"/>
  <c r="U43" i="5"/>
  <c r="U44" i="5"/>
  <c r="U27" i="5"/>
  <c r="U30" i="5"/>
  <c r="U23" i="5"/>
  <c r="U20" i="5"/>
  <c r="U13" i="5"/>
  <c r="U16" i="5"/>
  <c r="U2" i="5"/>
  <c r="U45" i="5"/>
  <c r="U38" i="5"/>
  <c r="U3" i="5"/>
  <c r="U6" i="5"/>
  <c r="U31" i="5"/>
  <c r="U15" i="5"/>
  <c r="U8" i="5"/>
  <c r="U28" i="5"/>
  <c r="U37" i="5"/>
  <c r="U7" i="5"/>
  <c r="U4" i="5"/>
  <c r="U26" i="5"/>
  <c r="U17" i="5"/>
  <c r="U41" i="5"/>
  <c r="U10" i="5"/>
  <c r="U48" i="5"/>
  <c r="U36" i="5"/>
  <c r="U40" i="5"/>
  <c r="U24" i="5"/>
  <c r="U12" i="5"/>
  <c r="U50" i="5"/>
  <c r="U47" i="5"/>
  <c r="U25" i="5"/>
  <c r="V51" i="5"/>
  <c r="V5" i="5"/>
  <c r="V20" i="5"/>
  <c r="V41" i="5"/>
  <c r="V31" i="5"/>
  <c r="V38" i="5"/>
  <c r="V24" i="5"/>
  <c r="V8" i="5"/>
  <c r="V12" i="5"/>
  <c r="V21" i="5"/>
  <c r="V36" i="5"/>
  <c r="V11" i="5"/>
  <c r="V27" i="5"/>
  <c r="V7" i="5"/>
  <c r="V42" i="5"/>
  <c r="V28" i="5"/>
  <c r="V48" i="5"/>
  <c r="V40" i="5"/>
  <c r="V2" i="5"/>
  <c r="V15" i="5"/>
  <c r="V26" i="5"/>
  <c r="V17" i="5"/>
  <c r="V45" i="5"/>
  <c r="V30" i="5"/>
  <c r="V44" i="5"/>
  <c r="V10" i="5"/>
  <c r="V3" i="5"/>
  <c r="V50" i="5"/>
  <c r="V33" i="5"/>
  <c r="V43" i="5"/>
  <c r="V13" i="5"/>
  <c r="V4" i="5"/>
  <c r="V37" i="5"/>
  <c r="V6" i="5"/>
  <c r="V23" i="5"/>
  <c r="V25" i="5"/>
  <c r="V47" i="5"/>
  <c r="V16" i="5"/>
  <c r="P51" i="5"/>
</calcChain>
</file>

<file path=xl/comments1.xml><?xml version="1.0" encoding="utf-8"?>
<comments xmlns="http://schemas.openxmlformats.org/spreadsheetml/2006/main">
  <authors>
    <author>tc={BE4A1305-E24F-4F7B-9D50-D0AC47F935DF}</author>
    <author>tc={8E0553B5-0180-42BC-831B-E1CE9DB0DF6D}</author>
  </authors>
  <commentList>
    <comment ref="C47" authorId="0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Appointed from 05/12/22 but not active until 26/12/22 due to being hospitalised by Covid-19.</t>
        </r>
      </text>
    </comment>
    <comment ref="C48" authorId="1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Appointed initially as 'Interim Manager'.  Record excludes two matches in December 2022 when he took charge due to David Webb's illness absence.</t>
        </r>
      </text>
    </comment>
  </commentList>
</comments>
</file>

<file path=xl/comments2.xml><?xml version="1.0" encoding="utf-8"?>
<comments xmlns="http://schemas.openxmlformats.org/spreadsheetml/2006/main">
  <authors>
    <author>Andy</author>
    <author>tc={055653AD-D31E-4053-93CD-9E483D0AB269}</author>
  </authors>
  <commentList>
    <comment ref="L45" authorId="0">
      <text>
        <r>
          <rPr>
            <sz val="9"/>
            <color indexed="81"/>
            <rFont val="Tahoma"/>
            <family val="2"/>
          </rPr>
          <t>3rd equal with Farsley Celtic</t>
        </r>
      </text>
    </comment>
    <comment ref="J47" authorId="1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spectators due to Covid-19</t>
        </r>
      </text>
    </comment>
  </commentList>
</comments>
</file>

<file path=xl/comments3.xml><?xml version="1.0" encoding="utf-8"?>
<comments xmlns="http://schemas.openxmlformats.org/spreadsheetml/2006/main">
  <authors>
    <author>chris forth</author>
    <author>Chris Forth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City  first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Match programme confirms it as 1997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Exact goal minutes tbc</t>
        </r>
      </text>
    </comment>
    <comment ref="J28" authorId="0">
      <text>
        <r>
          <rPr>
            <b/>
            <sz val="8"/>
            <color indexed="81"/>
            <rFont val="Tahoma"/>
            <family val="2"/>
          </rPr>
          <t>chris forth:</t>
        </r>
        <r>
          <rPr>
            <sz val="8"/>
            <color indexed="81"/>
            <rFont val="Tahoma"/>
            <family val="2"/>
          </rPr>
          <t xml:space="preserve">
BBC reported 42,669</t>
        </r>
      </text>
    </comment>
  </commentList>
</comments>
</file>

<file path=xl/sharedStrings.xml><?xml version="1.0" encoding="utf-8"?>
<sst xmlns="http://schemas.openxmlformats.org/spreadsheetml/2006/main" count="4161" uniqueCount="1902">
  <si>
    <t>TOTALS</t>
  </si>
  <si>
    <t>MIN</t>
  </si>
  <si>
    <t>AVE</t>
  </si>
  <si>
    <t>MAX</t>
  </si>
  <si>
    <t>Updated:</t>
  </si>
  <si>
    <t>This season: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</si>
  <si>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</si>
  <si>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</si>
  <si>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</si>
  <si>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</si>
  <si>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</si>
  <si>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</si>
  <si>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</si>
  <si>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</si>
  <si>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</si>
  <si>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</si>
  <si>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</si>
  <si>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</si>
  <si>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PLAYER</t>
  </si>
  <si>
    <t>SEASONS</t>
  </si>
  <si>
    <t>LEAGUE</t>
  </si>
  <si>
    <t>FA CUP</t>
  </si>
  <si>
    <t>OTHERS</t>
  </si>
  <si>
    <t>TOTAL</t>
  </si>
  <si>
    <t>CUP</t>
  </si>
  <si>
    <t>1954-66</t>
  </si>
  <si>
    <t>1981-87</t>
  </si>
  <si>
    <t>1951-58</t>
  </si>
  <si>
    <t>1946-53</t>
  </si>
  <si>
    <t>1954-58</t>
  </si>
  <si>
    <t>1956-63</t>
  </si>
  <si>
    <t>BARNES Paul</t>
  </si>
  <si>
    <t>1992-96</t>
  </si>
  <si>
    <t>1984-95</t>
  </si>
  <si>
    <t>1978-87</t>
  </si>
  <si>
    <t>1929-34</t>
  </si>
  <si>
    <t>1951-61</t>
  </si>
  <si>
    <t>1933-35</t>
  </si>
  <si>
    <t>PEPPER Nigel</t>
  </si>
  <si>
    <t>1990-97</t>
  </si>
  <si>
    <t>1947-56</t>
  </si>
  <si>
    <t>1933-39</t>
  </si>
  <si>
    <t>1990-94</t>
  </si>
  <si>
    <t>1967-69</t>
  </si>
  <si>
    <t>1960-62</t>
  </si>
  <si>
    <t>1990-95</t>
  </si>
  <si>
    <t>1973-76</t>
  </si>
  <si>
    <t>1980-88</t>
  </si>
  <si>
    <t>1969-72</t>
  </si>
  <si>
    <t>1934-39</t>
  </si>
  <si>
    <t>1977-81</t>
  </si>
  <si>
    <t>1996-97</t>
  </si>
  <si>
    <t>CRESSWELL Richard</t>
  </si>
  <si>
    <t>1997-98</t>
  </si>
  <si>
    <t>1987-98</t>
  </si>
  <si>
    <t>1987-99</t>
  </si>
  <si>
    <t>POUTON Alan</t>
  </si>
  <si>
    <t>FULL</t>
  </si>
  <si>
    <t>1958-70</t>
  </si>
  <si>
    <t>1968-78</t>
  </si>
  <si>
    <t>NO.</t>
  </si>
  <si>
    <t>SEASON</t>
  </si>
  <si>
    <t>SAT</t>
  </si>
  <si>
    <t>FRI</t>
  </si>
  <si>
    <t>THU</t>
  </si>
  <si>
    <t>WED</t>
  </si>
  <si>
    <t>TUE</t>
  </si>
  <si>
    <t>MON</t>
  </si>
  <si>
    <t>SUN</t>
  </si>
  <si>
    <t>COUNT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</si>
  <si>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</si>
  <si>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</si>
  <si>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</si>
  <si>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</si>
  <si>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</si>
  <si>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</si>
  <si>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</si>
  <si>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</si>
  <si>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</si>
  <si>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</si>
  <si>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</si>
  <si>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</si>
  <si>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</si>
  <si>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</si>
  <si>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</si>
  <si>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</si>
  <si>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</si>
  <si>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</si>
  <si>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</si>
  <si>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</si>
  <si>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</si>
  <si>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</si>
  <si>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</si>
  <si>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</si>
  <si>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</si>
  <si>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</si>
  <si>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</si>
  <si>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</si>
  <si>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</si>
  <si>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</si>
  <si>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</si>
  <si>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</si>
  <si>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</si>
  <si>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</si>
  <si>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</si>
  <si>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</si>
  <si>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</si>
  <si>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</si>
  <si>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</si>
  <si>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</si>
  <si>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</si>
  <si>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</si>
  <si>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</si>
  <si>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</si>
  <si>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</si>
  <si>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</si>
  <si>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</si>
  <si>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</si>
  <si>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</si>
  <si>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</si>
  <si>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</si>
  <si>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</si>
  <si>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</si>
  <si>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</si>
  <si>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</si>
  <si>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</si>
  <si>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</si>
  <si>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</si>
  <si>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</si>
  <si>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</si>
  <si>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1998-99</t>
  </si>
  <si>
    <t>Jock Collier</t>
  </si>
  <si>
    <t>Tom Mitchell</t>
  </si>
  <si>
    <t>Dick Duckworth</t>
  </si>
  <si>
    <t>Charles Spencer</t>
  </si>
  <si>
    <t>Jimmy McCormick</t>
  </si>
  <si>
    <t>Sam Bartram</t>
  </si>
  <si>
    <t>Tom Lockie</t>
  </si>
  <si>
    <t>Joe Shaw</t>
  </si>
  <si>
    <t>Tom Johnston</t>
  </si>
  <si>
    <t>Wilf McGuinness</t>
  </si>
  <si>
    <t>Charlie Wright</t>
  </si>
  <si>
    <t>Barry Lyons</t>
  </si>
  <si>
    <t>Denis Smith</t>
  </si>
  <si>
    <t>Bobby Saxton</t>
  </si>
  <si>
    <t>John Bird</t>
  </si>
  <si>
    <t>John Ward</t>
  </si>
  <si>
    <t>Alan Little</t>
  </si>
  <si>
    <t>Manager</t>
  </si>
  <si>
    <t>From</t>
  </si>
  <si>
    <t>To</t>
  </si>
  <si>
    <t>Days</t>
  </si>
  <si>
    <t>years</t>
  </si>
  <si>
    <t>Years</t>
  </si>
  <si>
    <t>Never played:</t>
  </si>
  <si>
    <t>May 16, 22, 23, 25, 28, 29, 30</t>
  </si>
  <si>
    <t>Neil Thompson</t>
  </si>
  <si>
    <t>1999-2000</t>
  </si>
  <si>
    <t>Kevin Randall</t>
  </si>
  <si>
    <t>Position</t>
  </si>
  <si>
    <t>Terry Dolan</t>
  </si>
  <si>
    <t>2000-01</t>
  </si>
  <si>
    <t>APPS</t>
  </si>
  <si>
    <t>RATE</t>
  </si>
  <si>
    <t>1966-74</t>
  </si>
  <si>
    <t>1950-58</t>
  </si>
  <si>
    <t>1954-61</t>
  </si>
  <si>
    <t>GABBIADINI Marco</t>
  </si>
  <si>
    <t>MURTY Graeme</t>
  </si>
  <si>
    <t>McCARTHY Jon</t>
  </si>
  <si>
    <t>GREENING Jonathan</t>
  </si>
  <si>
    <t>KIELY Dean</t>
  </si>
  <si>
    <t>WILLIAMS Darren</t>
  </si>
  <si>
    <t>CULKIN Nick</t>
  </si>
  <si>
    <t>MATTHEWS Rob</t>
  </si>
  <si>
    <t>RANDALL Adrian</t>
  </si>
  <si>
    <t>SOLD FOR</t>
  </si>
  <si>
    <t>(min.)</t>
  </si>
  <si>
    <t>BOUGHT FOR</t>
  </si>
  <si>
    <t>1989-2001</t>
  </si>
  <si>
    <t>2001-02</t>
  </si>
  <si>
    <t>2002-03</t>
  </si>
  <si>
    <t>FENOUGHTY</t>
  </si>
  <si>
    <t>LAYCOCK</t>
  </si>
  <si>
    <t>GLEDHILL</t>
  </si>
  <si>
    <t>BAINES</t>
  </si>
  <si>
    <t>STOREY</t>
  </si>
  <si>
    <t>FENTON</t>
  </si>
  <si>
    <t>DUNMORE</t>
  </si>
  <si>
    <t>WEIR</t>
  </si>
  <si>
    <t>STAINSBY</t>
  </si>
  <si>
    <t>AIMSON</t>
  </si>
  <si>
    <t>JONES</t>
  </si>
  <si>
    <t>WALWYN</t>
  </si>
  <si>
    <t>ROWE</t>
  </si>
  <si>
    <t>DUFFIELD</t>
  </si>
  <si>
    <t>MORTIMER</t>
  </si>
  <si>
    <t>BOTTOM</t>
  </si>
  <si>
    <t>BOYER</t>
  </si>
  <si>
    <t>MacDOUGALL</t>
  </si>
  <si>
    <t>SCORING IN CONSECUTIVE LEAGUE MATCHES</t>
  </si>
  <si>
    <t>2003-04</t>
  </si>
  <si>
    <t>Chris Brass</t>
  </si>
  <si>
    <t>Average:</t>
  </si>
  <si>
    <t>Phil Burrows</t>
  </si>
  <si>
    <t>Chris Topping</t>
  </si>
  <si>
    <t>Micky Cave</t>
  </si>
  <si>
    <t>Brian Pollard</t>
  </si>
  <si>
    <t>Gordon Staniforth</t>
  </si>
  <si>
    <t>Ian McDonald</t>
  </si>
  <si>
    <t>Eddie Blackburn</t>
  </si>
  <si>
    <t>Keith Walwyn</t>
  </si>
  <si>
    <t>Derek Hood</t>
  </si>
  <si>
    <t>John MacPhail</t>
  </si>
  <si>
    <t>Simon Mills</t>
  </si>
  <si>
    <t>Dale Banton</t>
  </si>
  <si>
    <t>Ian Helliwell</t>
  </si>
  <si>
    <t>Chris Marples</t>
  </si>
  <si>
    <t>Steve Tutill</t>
  </si>
  <si>
    <t>Jon McCarthy</t>
  </si>
  <si>
    <t>Paul Stancliffe</t>
  </si>
  <si>
    <t>Paul Barnes</t>
  </si>
  <si>
    <t>Andy McMillan</t>
  </si>
  <si>
    <t>Tony Barras</t>
  </si>
  <si>
    <t>Steve Bushell</t>
  </si>
  <si>
    <t>Barry Jones</t>
  </si>
  <si>
    <t>Alan Fettis</t>
  </si>
  <si>
    <t>WINNER</t>
  </si>
  <si>
    <t>Darren Dunning</t>
  </si>
  <si>
    <t>2004-05</t>
  </si>
  <si>
    <t>Viv Busby</t>
  </si>
  <si>
    <t>2000-05</t>
  </si>
  <si>
    <t>Billy McEwan</t>
  </si>
  <si>
    <t>0131</t>
  </si>
  <si>
    <t>0233</t>
  </si>
  <si>
    <t>0838</t>
  </si>
  <si>
    <t>0914</t>
  </si>
  <si>
    <t>0134</t>
  </si>
  <si>
    <t>0236</t>
  </si>
  <si>
    <t>0841</t>
  </si>
  <si>
    <t>0917</t>
  </si>
  <si>
    <t>0334</t>
  </si>
  <si>
    <t>0409</t>
  </si>
  <si>
    <t>0339</t>
  </si>
  <si>
    <t>0414</t>
  </si>
  <si>
    <t>FROM</t>
  </si>
  <si>
    <t>TO</t>
  </si>
  <si>
    <t xml:space="preserve"> SEASON / MATCH</t>
  </si>
  <si>
    <t>2005-06</t>
  </si>
  <si>
    <t>DONALDSON</t>
  </si>
  <si>
    <t>DATE</t>
  </si>
  <si>
    <t>FAC2</t>
  </si>
  <si>
    <t>H</t>
  </si>
  <si>
    <t>TRANMERE R.</t>
  </si>
  <si>
    <t>D</t>
  </si>
  <si>
    <t>0-1</t>
  </si>
  <si>
    <t>Hall</t>
  </si>
  <si>
    <t>VENUE</t>
  </si>
  <si>
    <t>OPPONENTS</t>
  </si>
  <si>
    <t>RES</t>
  </si>
  <si>
    <t>F</t>
  </si>
  <si>
    <t>A</t>
  </si>
  <si>
    <t>H.T.</t>
  </si>
  <si>
    <t>ATT</t>
  </si>
  <si>
    <t>SCORERS</t>
  </si>
  <si>
    <t>COMP</t>
  </si>
  <si>
    <t>FAC1</t>
  </si>
  <si>
    <t>NOTTS COUNTY</t>
  </si>
  <si>
    <t>L</t>
  </si>
  <si>
    <t>HARTLEPOOL UNITED</t>
  </si>
  <si>
    <t>0-0</t>
  </si>
  <si>
    <t>DIV 3</t>
  </si>
  <si>
    <t>Morecambe</t>
  </si>
  <si>
    <t>CONF</t>
  </si>
  <si>
    <t>Halifax Town</t>
  </si>
  <si>
    <t>55,83</t>
  </si>
  <si>
    <t>BURTON ALBION</t>
  </si>
  <si>
    <t>Brighton &amp; Hove Albion</t>
  </si>
  <si>
    <t>Hinch, Pollard</t>
  </si>
  <si>
    <t>FAC3</t>
  </si>
  <si>
    <t>LUTON TOWN</t>
  </si>
  <si>
    <t>W</t>
  </si>
  <si>
    <t>Staniforth, Randall</t>
  </si>
  <si>
    <t>FAC4</t>
  </si>
  <si>
    <t>ARSENAL</t>
  </si>
  <si>
    <t>Houchen (pen)</t>
  </si>
  <si>
    <t>Blackpool</t>
  </si>
  <si>
    <t>Old Div 4</t>
  </si>
  <si>
    <t>Old Div 3</t>
  </si>
  <si>
    <t>OTHER INFORMATION</t>
  </si>
  <si>
    <t>OTHER APPEARANCES ON NATIONAL TV</t>
  </si>
  <si>
    <t>Dave Merris</t>
  </si>
  <si>
    <t>2004-06</t>
  </si>
  <si>
    <t>SCORING 10 OR MORE LEAGUE GOALS IN CONSECUTIVE SEASONS</t>
  </si>
  <si>
    <t xml:space="preserve"> SEASON</t>
  </si>
  <si>
    <t>A PATRICK</t>
  </si>
  <si>
    <t>T FENOUGHTY</t>
  </si>
  <si>
    <t>P BARNES</t>
  </si>
  <si>
    <t>N WILKINSON</t>
  </si>
  <si>
    <t>B FENTON</t>
  </si>
  <si>
    <t>A BOTTOM</t>
  </si>
  <si>
    <t>K WALWYN</t>
  </si>
  <si>
    <t>W GARDNER</t>
  </si>
  <si>
    <t>R BAINES</t>
  </si>
  <si>
    <t>M DANDO</t>
  </si>
  <si>
    <t>P SPOONER</t>
  </si>
  <si>
    <t>P WRAGG</t>
  </si>
  <si>
    <t>J WEIR</t>
  </si>
  <si>
    <t>T FARMER</t>
  </si>
  <si>
    <t>P AIMSON</t>
  </si>
  <si>
    <t>A PROVAN</t>
  </si>
  <si>
    <t>T MacDOUGALL</t>
  </si>
  <si>
    <t>K McMAHON</t>
  </si>
  <si>
    <t>J SEAL</t>
  </si>
  <si>
    <t>C JONES</t>
  </si>
  <si>
    <t>G STANIFORTH</t>
  </si>
  <si>
    <t>G FORD</t>
  </si>
  <si>
    <t>J BYRNE</t>
  </si>
  <si>
    <t>D BANTON</t>
  </si>
  <si>
    <t>I HELLIWELL</t>
  </si>
  <si>
    <t>A BISHOP</t>
  </si>
  <si>
    <t>RANK</t>
  </si>
  <si>
    <t>2006-07</t>
  </si>
  <si>
    <t>Neal Bishop</t>
  </si>
  <si>
    <t>2007-08</t>
  </si>
  <si>
    <t>C DONALDSON</t>
  </si>
  <si>
    <t>CONF P/O</t>
  </si>
  <si>
    <t>1-1</t>
  </si>
  <si>
    <t>Exeter City</t>
  </si>
  <si>
    <t>Hereford United</t>
  </si>
  <si>
    <t>FAC5</t>
  </si>
  <si>
    <t>LIVERPOOL</t>
  </si>
  <si>
    <t>Sbragia</t>
  </si>
  <si>
    <t>Ford</t>
  </si>
  <si>
    <t>NORWICH CITY</t>
  </si>
  <si>
    <t>Seal</t>
  </si>
  <si>
    <t>Old Div 2</t>
  </si>
  <si>
    <t>APPEARANCES ON REGIONAL TV</t>
  </si>
  <si>
    <t>ITV highlights</t>
  </si>
  <si>
    <t>SOUTHAMPTON</t>
  </si>
  <si>
    <t>McMahon, Hewitt, Aimson</t>
  </si>
  <si>
    <t>CHESTERFIELD</t>
  </si>
  <si>
    <t>Burrows, Rowles</t>
  </si>
  <si>
    <t>BRISTOL ROVERS</t>
  </si>
  <si>
    <t>Jones, Holmes (pen)</t>
  </si>
  <si>
    <t>Match of the Day</t>
  </si>
  <si>
    <t>Whitehead, Canham, Banton</t>
  </si>
  <si>
    <t>RUSHDEN &amp; DIAMONDS</t>
  </si>
  <si>
    <t xml:space="preserve"> 1-1 </t>
  </si>
  <si>
    <t>HALIFAX TOWN</t>
  </si>
  <si>
    <t>TORQUAY UNITED</t>
  </si>
  <si>
    <t>Farsley Celtic</t>
  </si>
  <si>
    <t>2-1</t>
  </si>
  <si>
    <t>Colin Walker</t>
  </si>
  <si>
    <t>EXETER CITY</t>
  </si>
  <si>
    <t>NORTHWICH VICTORIA</t>
  </si>
  <si>
    <t>P</t>
  </si>
  <si>
    <t>Pts</t>
  </si>
  <si>
    <t>Clayton Donaldson</t>
  </si>
  <si>
    <t>1-0</t>
  </si>
  <si>
    <t>David McGurk</t>
  </si>
  <si>
    <t>2008-09</t>
  </si>
  <si>
    <t>MANSFIELD TOWN</t>
  </si>
  <si>
    <t>Torquay United</t>
  </si>
  <si>
    <t>WREXHAM</t>
  </si>
  <si>
    <t>Greaves 73</t>
  </si>
  <si>
    <t>WATCHED?</t>
  </si>
  <si>
    <t>TV</t>
  </si>
  <si>
    <t>LIVE</t>
  </si>
  <si>
    <t>Missed - in Portugal</t>
  </si>
  <si>
    <t>Martin Foyle</t>
  </si>
  <si>
    <t>Burton Albion</t>
  </si>
  <si>
    <t>Weymouth</t>
  </si>
  <si>
    <t>Jones, Roger</t>
  </si>
  <si>
    <t>Senior, Steve</t>
  </si>
  <si>
    <t>Hay, Alan</t>
  </si>
  <si>
    <t>PLACE OF BIRTH</t>
  </si>
  <si>
    <t>Upton-on-Severn, Worcs</t>
  </si>
  <si>
    <t>Sheffield</t>
  </si>
  <si>
    <t>Dunfermline</t>
  </si>
  <si>
    <t>Sbragia, Ricky</t>
  </si>
  <si>
    <t>Lennoxtown, Glasgow</t>
  </si>
  <si>
    <t>MacPhail, John</t>
  </si>
  <si>
    <t>Dundee</t>
  </si>
  <si>
    <t>Hood, Derek</t>
  </si>
  <si>
    <t>Washington</t>
  </si>
  <si>
    <t>Ford, Gary</t>
  </si>
  <si>
    <t>York</t>
  </si>
  <si>
    <t>Crosby, Malcolm</t>
  </si>
  <si>
    <t>South Shields</t>
  </si>
  <si>
    <t>Walwyn, Keith</t>
  </si>
  <si>
    <t>Nevis</t>
  </si>
  <si>
    <t>(died April 2003)</t>
  </si>
  <si>
    <t>Byrne, John</t>
  </si>
  <si>
    <t>Manchester</t>
  </si>
  <si>
    <t>Pollard, Brian</t>
  </si>
  <si>
    <t>Haslegrave, Sean</t>
  </si>
  <si>
    <t>Stoke-on-Trent</t>
  </si>
  <si>
    <t>AGE TODAY</t>
  </si>
  <si>
    <t>Murty, Graeme</t>
  </si>
  <si>
    <t>Middlesbrough</t>
  </si>
  <si>
    <t>Daniel Parslow</t>
  </si>
  <si>
    <t>Barrow</t>
  </si>
  <si>
    <t>Addison, Colin</t>
  </si>
  <si>
    <t>Aimson, Paul</t>
  </si>
  <si>
    <t>Allen, Billy</t>
  </si>
  <si>
    <t>Andrews, Percy</t>
  </si>
  <si>
    <t>Atkin, Paul</t>
  </si>
  <si>
    <t>Baines, Reg</t>
  </si>
  <si>
    <t>Baker, Gerry</t>
  </si>
  <si>
    <t>Banton, Dale</t>
  </si>
  <si>
    <t>Barnes, Paul</t>
  </si>
  <si>
    <t>Barras, Tony</t>
  </si>
  <si>
    <t>Taunton</t>
  </si>
  <si>
    <t>Macclesfield</t>
  </si>
  <si>
    <t>(died January 2008)</t>
  </si>
  <si>
    <t>Newcastle-upon-Tyne</t>
  </si>
  <si>
    <t>(died 1981)</t>
  </si>
  <si>
    <t>Alton</t>
  </si>
  <si>
    <t>(died February 1985)</t>
  </si>
  <si>
    <t>Nottingham</t>
  </si>
  <si>
    <t>(died 1974)</t>
  </si>
  <si>
    <t>Wigan</t>
  </si>
  <si>
    <t>Kensington</t>
  </si>
  <si>
    <t>Leicester</t>
  </si>
  <si>
    <t>Stockton-on-Tees</t>
  </si>
  <si>
    <t>Bingley, Walter</t>
  </si>
  <si>
    <t>Blackstone, Ian</t>
  </si>
  <si>
    <t>Harrogate</t>
  </si>
  <si>
    <t>Bottom, Arthur</t>
  </si>
  <si>
    <t>STOCKHILL, Reg</t>
  </si>
  <si>
    <t>JACKSON, Barry</t>
  </si>
  <si>
    <t>McMILLAN, Andy</t>
  </si>
  <si>
    <t>TOPPING, Chris</t>
  </si>
  <si>
    <t>FORD, Gary</t>
  </si>
  <si>
    <t>FORGAN, Tommy</t>
  </si>
  <si>
    <t>HALL, Wayne</t>
  </si>
  <si>
    <t>CANHAM, Tony</t>
  </si>
  <si>
    <t>WILKINSON, Norman</t>
  </si>
  <si>
    <t>BURROWS, Phil</t>
  </si>
  <si>
    <t>HUGHES, Billy</t>
  </si>
  <si>
    <t>TUTILL, Steve</t>
  </si>
  <si>
    <t>STOREY, Sid</t>
  </si>
  <si>
    <t>HOOD, Derek</t>
  </si>
  <si>
    <t>BROWN, Gordon</t>
  </si>
  <si>
    <t>HOWE, George</t>
  </si>
  <si>
    <t>15years 281days</t>
  </si>
  <si>
    <t>Youngest Player</t>
  </si>
  <si>
    <t>Oldest Player</t>
  </si>
  <si>
    <t>MIDDLETON, Matt</t>
  </si>
  <si>
    <t>42years 194days</t>
  </si>
  <si>
    <t>Stockhill, Reg</t>
  </si>
  <si>
    <t>Middleton, Matt</t>
  </si>
  <si>
    <t>Boldon Colliery</t>
  </si>
  <si>
    <t>(died 1979)</t>
  </si>
  <si>
    <t>(died 1995)</t>
  </si>
  <si>
    <t>COMMENTS</t>
  </si>
  <si>
    <t>Boyer, Phil</t>
  </si>
  <si>
    <t>Brass, Chris</t>
  </si>
  <si>
    <t>Brenen, Bert</t>
  </si>
  <si>
    <t>Brown, Gordon</t>
  </si>
  <si>
    <t>Bullock, Lee</t>
  </si>
  <si>
    <t>(died February 1995)</t>
  </si>
  <si>
    <t>Easington</t>
  </si>
  <si>
    <t>Warsop, Notts</t>
  </si>
  <si>
    <t>Burrows, Phil</t>
  </si>
  <si>
    <t>Bushell, Steve</t>
  </si>
  <si>
    <t>Stockport</t>
  </si>
  <si>
    <t>Canham, Tony</t>
  </si>
  <si>
    <t>Cave, Micky</t>
  </si>
  <si>
    <t>Cowie, James</t>
  </si>
  <si>
    <t>Leeds</t>
  </si>
  <si>
    <t>(died November 1985)</t>
  </si>
  <si>
    <t>APPROX AGE AT DEATH (Y:M)</t>
  </si>
  <si>
    <t>Keith</t>
  </si>
  <si>
    <t>(died October 1964)</t>
  </si>
  <si>
    <t>Crawford, Graeme</t>
  </si>
  <si>
    <t>Cresswell, Richard</t>
  </si>
  <si>
    <t>Falkirk</t>
  </si>
  <si>
    <t>Bridlington</t>
  </si>
  <si>
    <t>PAID TO</t>
  </si>
  <si>
    <t>Burnley</t>
  </si>
  <si>
    <t>Southend United</t>
  </si>
  <si>
    <t>Luton Town</t>
  </si>
  <si>
    <t>RANDALL, Adrian</t>
  </si>
  <si>
    <t>CONLON, Barry</t>
  </si>
  <si>
    <t>MATTHEWS, Rob</t>
  </si>
  <si>
    <t>RUSH, David</t>
  </si>
  <si>
    <t>ALCIDE, Colin</t>
  </si>
  <si>
    <t>SHARPLES, John</t>
  </si>
  <si>
    <t>TINKLER, Mark</t>
  </si>
  <si>
    <t>CONNOLLY, Gordon</t>
  </si>
  <si>
    <t>ROWE, Rodney</t>
  </si>
  <si>
    <t>Oxford United</t>
  </si>
  <si>
    <t>Huddersfield Town</t>
  </si>
  <si>
    <t>Hull City</t>
  </si>
  <si>
    <t>Ayr United</t>
  </si>
  <si>
    <t>Leeds United</t>
  </si>
  <si>
    <t>Bishop Auckland</t>
  </si>
  <si>
    <t>Bury</t>
  </si>
  <si>
    <t>Huddersfield</t>
  </si>
  <si>
    <t>Sunderland</t>
  </si>
  <si>
    <t>Slough</t>
  </si>
  <si>
    <t>Dublin</t>
  </si>
  <si>
    <t>Amesbury</t>
  </si>
  <si>
    <t>Airdrie</t>
  </si>
  <si>
    <t>Glasgow</t>
  </si>
  <si>
    <t>Randall, Adrian</t>
  </si>
  <si>
    <t>Conlon, Barry</t>
  </si>
  <si>
    <t>Matthews, Rob</t>
  </si>
  <si>
    <t>Rush, David</t>
  </si>
  <si>
    <t>Alcide, Colin</t>
  </si>
  <si>
    <t>Rowe, Rodney</t>
  </si>
  <si>
    <t>Sharples, John</t>
  </si>
  <si>
    <t>Tinkler, Mark</t>
  </si>
  <si>
    <t>Connelly, Gordon</t>
  </si>
  <si>
    <t>Davidson, Ian</t>
  </si>
  <si>
    <t>Goole</t>
  </si>
  <si>
    <t>Donaldson, Clayton</t>
  </si>
  <si>
    <t>Bradford</t>
  </si>
  <si>
    <t>Dunmore, David</t>
  </si>
  <si>
    <t>Whitehaven</t>
  </si>
  <si>
    <t>Edmondson, Darren</t>
  </si>
  <si>
    <t>Coniston</t>
  </si>
  <si>
    <t>Fenoughty, Tom</t>
  </si>
  <si>
    <t>Rotherham</t>
  </si>
  <si>
    <t>(died 2001)</t>
  </si>
  <si>
    <t>Fenton, Billy</t>
  </si>
  <si>
    <t>Hartlepool</t>
  </si>
  <si>
    <t>(died April 1973)</t>
  </si>
  <si>
    <t>Fettis, Alan</t>
  </si>
  <si>
    <t>Belfast</t>
  </si>
  <si>
    <t>Forgan, Tommy</t>
  </si>
  <si>
    <t>Fox, Stan</t>
  </si>
  <si>
    <t>Gabbiadini, Marco</t>
  </si>
  <si>
    <t>Gledhill, Sammy</t>
  </si>
  <si>
    <t>Castleford</t>
  </si>
  <si>
    <t>(died 1994)</t>
  </si>
  <si>
    <t>Gould, Wally</t>
  </si>
  <si>
    <t>Griffiths, Steve</t>
  </si>
  <si>
    <t>Barnsley</t>
  </si>
  <si>
    <t>(died 1998)</t>
  </si>
  <si>
    <t>Hall, Wayne</t>
  </si>
  <si>
    <t>Helliwell, Ian</t>
  </si>
  <si>
    <t>Heron, Tommy</t>
  </si>
  <si>
    <t>Irvine</t>
  </si>
  <si>
    <t>Holmes, Ian</t>
  </si>
  <si>
    <t>Wombwell</t>
  </si>
  <si>
    <t>Houchen, Keith</t>
  </si>
  <si>
    <t>Howe, George</t>
  </si>
  <si>
    <t>Wakefield</t>
  </si>
  <si>
    <t>(died November 1971)</t>
  </si>
  <si>
    <t>(died 2003)</t>
  </si>
  <si>
    <t>Hughes, Billy</t>
  </si>
  <si>
    <t>Jackson, Barry</t>
  </si>
  <si>
    <t>Askrigg</t>
  </si>
  <si>
    <t>Johnson, Sam</t>
  </si>
  <si>
    <t>Kidsgrove</t>
  </si>
  <si>
    <t>(died 1975)</t>
  </si>
  <si>
    <t>Jones, Barry</t>
  </si>
  <si>
    <t>Prescot</t>
  </si>
  <si>
    <t>Jones, Chris</t>
  </si>
  <si>
    <t>Altrincham</t>
  </si>
  <si>
    <t>Kay, Roy</t>
  </si>
  <si>
    <t>Edinburgh</t>
  </si>
  <si>
    <t>Kiely, Dean</t>
  </si>
  <si>
    <t>Salford</t>
  </si>
  <si>
    <t>Lee, George</t>
  </si>
  <si>
    <t>(died April 1991)</t>
  </si>
  <si>
    <t>Lyons, Barry</t>
  </si>
  <si>
    <t>Shirebrook</t>
  </si>
  <si>
    <t>McCarthy, Jon</t>
  </si>
  <si>
    <t>McDonald, Ian</t>
  </si>
  <si>
    <t>Barrow-in-Furness</t>
  </si>
  <si>
    <t>MacDougall, Ted</t>
  </si>
  <si>
    <t>Inverness</t>
  </si>
  <si>
    <t>McMillan, Andy</t>
  </si>
  <si>
    <t>Bloemfontein</t>
  </si>
  <si>
    <t>Mackin, John</t>
  </si>
  <si>
    <t>Marples, Chris</t>
  </si>
  <si>
    <t>Chesterfield</t>
  </si>
  <si>
    <t>Middlemass, Jack</t>
  </si>
  <si>
    <t>17/01/1896</t>
  </si>
  <si>
    <t>(died April 1984)</t>
  </si>
  <si>
    <t>88:03</t>
  </si>
  <si>
    <t>Mollatt, Ron</t>
  </si>
  <si>
    <t>Edwinstowe</t>
  </si>
  <si>
    <t>Saltburn</t>
  </si>
  <si>
    <t>Nogan, Lee</t>
  </si>
  <si>
    <t>Cardiff</t>
  </si>
  <si>
    <t>Panther, Manny</t>
  </si>
  <si>
    <t>Patrick, Alf</t>
  </si>
  <si>
    <t>Patrick, Matt</t>
  </si>
  <si>
    <t>Slamanan, Angus</t>
  </si>
  <si>
    <t>(died 2005)</t>
  </si>
  <si>
    <t>Pepper, Nigel</t>
  </si>
  <si>
    <t>Rawmarsh</t>
  </si>
  <si>
    <t>Phillips, Ernie</t>
  </si>
  <si>
    <t>North Shields</t>
  </si>
  <si>
    <t>(died 2004)</t>
  </si>
  <si>
    <t>Pinder, Jack</t>
  </si>
  <si>
    <t>(died August 2004)</t>
  </si>
  <si>
    <t>Provan, Andy</t>
  </si>
  <si>
    <t>Greenock</t>
  </si>
  <si>
    <t>Randall, Kevin</t>
  </si>
  <si>
    <t>Ashton-under-Lyne</t>
  </si>
  <si>
    <t>Reid, Shaun</t>
  </si>
  <si>
    <t>Huyton</t>
  </si>
  <si>
    <t>Rudd, Jimmy</t>
  </si>
  <si>
    <t>(died December 1985)</t>
  </si>
  <si>
    <t>Rudd, Billy</t>
  </si>
  <si>
    <t>Scott, Peter</t>
  </si>
  <si>
    <t>Liverpool</t>
  </si>
  <si>
    <t>Seal, Jimmy</t>
  </si>
  <si>
    <t>Simpson, John</t>
  </si>
  <si>
    <t>Hull</t>
  </si>
  <si>
    <t>(died 2000)</t>
  </si>
  <si>
    <t>Spence, Joe</t>
  </si>
  <si>
    <t>Spence, Ron</t>
  </si>
  <si>
    <t>Spennymoor</t>
  </si>
  <si>
    <t>(died 1996)</t>
  </si>
  <si>
    <t>Spooner, Peter</t>
  </si>
  <si>
    <t>Hepscott</t>
  </si>
  <si>
    <t>(died 1987)</t>
  </si>
  <si>
    <t>Stancliffe, Peter</t>
  </si>
  <si>
    <t>Staniforth, Gordon</t>
  </si>
  <si>
    <t>Stewart, Alan</t>
  </si>
  <si>
    <t>Storey, Sid</t>
  </si>
  <si>
    <t>Darfield</t>
  </si>
  <si>
    <t>Swallow, Barry</t>
  </si>
  <si>
    <t>Arksey, Doncaster</t>
  </si>
  <si>
    <t>Swann, Gary</t>
  </si>
  <si>
    <t>Taylor, Archie</t>
  </si>
  <si>
    <t>Doncaster</t>
  </si>
  <si>
    <t>Thompson, Des</t>
  </si>
  <si>
    <t>Southampton</t>
  </si>
  <si>
    <t>Thompson, Oliver</t>
  </si>
  <si>
    <t>Gateshead</t>
  </si>
  <si>
    <t>Topping, Chris</t>
  </si>
  <si>
    <t>Bubwith</t>
  </si>
  <si>
    <t>Tutill, Steve</t>
  </si>
  <si>
    <t>Walker, Dennis</t>
  </si>
  <si>
    <t>Northwich</t>
  </si>
  <si>
    <t>Weir, Jimmy</t>
  </si>
  <si>
    <t>Wharton, Norman</t>
  </si>
  <si>
    <t>Askham</t>
  </si>
  <si>
    <t>(died July 1961)</t>
  </si>
  <si>
    <t>Wilkinson, Norman</t>
  </si>
  <si>
    <t>Alnwick</t>
  </si>
  <si>
    <t>Woods, Alan</t>
  </si>
  <si>
    <t>Woodward, John</t>
  </si>
  <si>
    <t>Wragg, Peter</t>
  </si>
  <si>
    <t>Collier, Jock</t>
  </si>
  <si>
    <t>Dysart, Fife</t>
  </si>
  <si>
    <t>01/02/1897</t>
  </si>
  <si>
    <t>(died December 1940)</t>
  </si>
  <si>
    <t>43:11</t>
  </si>
  <si>
    <t>Sherrington, Billy</t>
  </si>
  <si>
    <t>Blaydon</t>
  </si>
  <si>
    <t>18/11/1890</t>
  </si>
  <si>
    <t>(died July 1977)</t>
  </si>
  <si>
    <t>86:08</t>
  </si>
  <si>
    <t>Mitchell, Tom</t>
  </si>
  <si>
    <t>30/09/1899</t>
  </si>
  <si>
    <t>(died November 1984)</t>
  </si>
  <si>
    <t>85:02</t>
  </si>
  <si>
    <t>Duckworth, Dick</t>
  </si>
  <si>
    <t>Bacup</t>
  </si>
  <si>
    <t>(died 1983)</t>
  </si>
  <si>
    <t>Spencer, Charles</t>
  </si>
  <si>
    <t>04/12/1899</t>
  </si>
  <si>
    <t>(died February 1953)</t>
  </si>
  <si>
    <t>53:03</t>
  </si>
  <si>
    <t>McCormick, James</t>
  </si>
  <si>
    <t>(died January 1968)</t>
  </si>
  <si>
    <t>Bartram, Sam</t>
  </si>
  <si>
    <t>Simonside, Durham</t>
  </si>
  <si>
    <t>(died July 1981)</t>
  </si>
  <si>
    <t>Lockie, Tom</t>
  </si>
  <si>
    <t>Duns</t>
  </si>
  <si>
    <t>Shaw, Joe</t>
  </si>
  <si>
    <t>Marton</t>
  </si>
  <si>
    <t>(died November 2007)</t>
  </si>
  <si>
    <t>Johnston, Tom</t>
  </si>
  <si>
    <t>Coldstream</t>
  </si>
  <si>
    <t>McGuinness, Wilf</t>
  </si>
  <si>
    <t>Wright, Charlie</t>
  </si>
  <si>
    <t>Smith, Denis</t>
  </si>
  <si>
    <t>Saxton, Bobby</t>
  </si>
  <si>
    <t>Bird, John</t>
  </si>
  <si>
    <t>Ward, John</t>
  </si>
  <si>
    <t>Lincoln</t>
  </si>
  <si>
    <t>Little, Alan</t>
  </si>
  <si>
    <t>Horden</t>
  </si>
  <si>
    <t>Thompson, Neil</t>
  </si>
  <si>
    <t>Beverley</t>
  </si>
  <si>
    <t>Dolan, Terry</t>
  </si>
  <si>
    <t>Busby, Viv</t>
  </si>
  <si>
    <t>High Wycombe</t>
  </si>
  <si>
    <t>McEwan, Billy</t>
  </si>
  <si>
    <t>Motherwell</t>
  </si>
  <si>
    <t>Walker, Colin</t>
  </si>
  <si>
    <t>Foyle, Martin</t>
  </si>
  <si>
    <t>Salisbury</t>
  </si>
  <si>
    <t>Andrews, Lee</t>
  </si>
  <si>
    <t>Carlisle</t>
  </si>
  <si>
    <t>WALWYN, Keith</t>
  </si>
  <si>
    <t>FENTON, Billy</t>
  </si>
  <si>
    <t>PATRICK, Alf</t>
  </si>
  <si>
    <t>AIMSON, Paul</t>
  </si>
  <si>
    <t>BOTTOM, Arthur</t>
  </si>
  <si>
    <t>WRAGG, Peter</t>
  </si>
  <si>
    <t>BAINES, Reg</t>
  </si>
  <si>
    <t>BARNES, Paul</t>
  </si>
  <si>
    <t>POLLARD, Brian</t>
  </si>
  <si>
    <t>BYRNE, John</t>
  </si>
  <si>
    <t>FENOUGHTY, Tom</t>
  </si>
  <si>
    <t>BANTON, Dale</t>
  </si>
  <si>
    <t>PROVAN, Andy</t>
  </si>
  <si>
    <t>PATRICK, Matt</t>
  </si>
  <si>
    <t>SEAL, Jimmy</t>
  </si>
  <si>
    <t>SPOONER, Peter</t>
  </si>
  <si>
    <t>HELLIWELL, Ian</t>
  </si>
  <si>
    <t>DANDO, Maurice</t>
  </si>
  <si>
    <t>PEPPER, Nigel</t>
  </si>
  <si>
    <t>DONALDSON, Clayton</t>
  </si>
  <si>
    <t>BLACKSTONE, Ian</t>
  </si>
  <si>
    <t>DUNMORE, David</t>
  </si>
  <si>
    <t>HATHWAY, Ted</t>
  </si>
  <si>
    <t>MacDOUGALL, Ted</t>
  </si>
  <si>
    <t>STANIFORTH, Gordon</t>
  </si>
  <si>
    <t>WEIR, Jimmy</t>
  </si>
  <si>
    <t>McCARTHY, Jon</t>
  </si>
  <si>
    <t>BISHOP, Andy</t>
  </si>
  <si>
    <t>NOGAN, Lee</t>
  </si>
  <si>
    <t>JONES, Chris</t>
  </si>
  <si>
    <t>HOLMES, Ian</t>
  </si>
  <si>
    <t>BRODIE, Richard</t>
  </si>
  <si>
    <t>McMAHON, Kevin</t>
  </si>
  <si>
    <t>BOYER, Phil</t>
  </si>
  <si>
    <t>HUGHES, James</t>
  </si>
  <si>
    <t>NAYLOR, Glenn</t>
  </si>
  <si>
    <t>McDONALD, Ian</t>
  </si>
  <si>
    <t>RUDD, Billy</t>
  </si>
  <si>
    <t>ADDISON, Colin</t>
  </si>
  <si>
    <t>RANDALL, Kevin</t>
  </si>
  <si>
    <t>FAT FINAL</t>
  </si>
  <si>
    <t>N</t>
  </si>
  <si>
    <t>Stevenage Borough</t>
  </si>
  <si>
    <t>69,90</t>
  </si>
  <si>
    <t>Barwick, Terry</t>
  </si>
  <si>
    <t>Beadle, Jimmy</t>
  </si>
  <si>
    <t>Derby</t>
  </si>
  <si>
    <t>Beardsley, Chris</t>
  </si>
  <si>
    <t>Bishop, Andy</t>
  </si>
  <si>
    <t>Stone</t>
  </si>
  <si>
    <t>Bishop, Neal</t>
  </si>
  <si>
    <t>Bowey, Steve</t>
  </si>
  <si>
    <t>Durham</t>
  </si>
  <si>
    <t>Bore, Peter</t>
  </si>
  <si>
    <t>Brodie, Richard</t>
  </si>
  <si>
    <t>Smith, Christian</t>
  </si>
  <si>
    <t>Critchell, Kyle</t>
  </si>
  <si>
    <t>Dyer, Bruce</t>
  </si>
  <si>
    <t>Ilford</t>
  </si>
  <si>
    <t>Farrell, Craig</t>
  </si>
  <si>
    <t>Greaves, Mark</t>
  </si>
  <si>
    <t>Henderson, Niall</t>
  </si>
  <si>
    <t>Hogg, Steven</t>
  </si>
  <si>
    <t>Holmes, Peter</t>
  </si>
  <si>
    <t>Preston</t>
  </si>
  <si>
    <t>Ingham, Michael</t>
  </si>
  <si>
    <t>Kelly, Darren</t>
  </si>
  <si>
    <t>Krysiak, Artur</t>
  </si>
  <si>
    <t>Poland</t>
  </si>
  <si>
    <t>Mackin, Levi</t>
  </si>
  <si>
    <t>McBreen, Daniel</t>
  </si>
  <si>
    <t>McGurk, David</t>
  </si>
  <si>
    <t>Mimms, Josh</t>
  </si>
  <si>
    <t>Parslow, Danny</t>
  </si>
  <si>
    <t>Hereford</t>
  </si>
  <si>
    <t>Pejic, Shaun</t>
  </si>
  <si>
    <t>Purkiss, Ben</t>
  </si>
  <si>
    <t>Guisborough</t>
  </si>
  <si>
    <t>Robinson, Mark</t>
  </si>
  <si>
    <t>Rothery, Gavin</t>
  </si>
  <si>
    <t>Peterborough</t>
  </si>
  <si>
    <t>Rusk, Simon</t>
  </si>
  <si>
    <t>Russell, Simon</t>
  </si>
  <si>
    <t>Sodje, Onome</t>
  </si>
  <si>
    <t>Wilkinson, Ben</t>
  </si>
  <si>
    <t>Torpey, Steve</t>
  </si>
  <si>
    <t>Islington</t>
  </si>
  <si>
    <t>Brayson, Paul</t>
  </si>
  <si>
    <t>Newcastle</t>
  </si>
  <si>
    <t>Bertos, Leo</t>
  </si>
  <si>
    <t>Wellington, NZ</t>
  </si>
  <si>
    <t>Clarke, Chris</t>
  </si>
  <si>
    <t>Convery, Mark</t>
  </si>
  <si>
    <t>Craddock, Darren</t>
  </si>
  <si>
    <t>Crichton, Paul</t>
  </si>
  <si>
    <t>Davies, Sean</t>
  </si>
  <si>
    <t>Davis, Steve</t>
  </si>
  <si>
    <t>Birmingham</t>
  </si>
  <si>
    <t>Donovan, Kevin</t>
  </si>
  <si>
    <t>Halifax</t>
  </si>
  <si>
    <t>Dudgeon, James</t>
  </si>
  <si>
    <t>Duncum, Sam</t>
  </si>
  <si>
    <t>Elliott, Stuart</t>
  </si>
  <si>
    <t>London</t>
  </si>
  <si>
    <t>Elvins, Rob</t>
  </si>
  <si>
    <t>Evans, Tom</t>
  </si>
  <si>
    <t>Stratford</t>
  </si>
  <si>
    <t>Fortune-West, Leo</t>
  </si>
  <si>
    <t>Mexborough</t>
  </si>
  <si>
    <t>Foster, Luke</t>
  </si>
  <si>
    <t>Fry, Russell</t>
  </si>
  <si>
    <t>Goodliffe, Jason</t>
  </si>
  <si>
    <t>Grant, Lee</t>
  </si>
  <si>
    <t>Greenwood, Ross</t>
  </si>
  <si>
    <t>Groves, Paul</t>
  </si>
  <si>
    <t>Lambeth</t>
  </si>
  <si>
    <t>Harrison, Gerry</t>
  </si>
  <si>
    <t>Hegarty, Nick</t>
  </si>
  <si>
    <t>Henderson, Steve</t>
  </si>
  <si>
    <t>Horwood, Evan</t>
  </si>
  <si>
    <t>Hotte, Mark</t>
  </si>
  <si>
    <t>Hutchinson, Joey</t>
  </si>
  <si>
    <t>James, Craig</t>
  </si>
  <si>
    <t>Jones, Carl</t>
  </si>
  <si>
    <t>Hungary</t>
  </si>
  <si>
    <t>Kovacs, Jonas</t>
  </si>
  <si>
    <t>Kirkcaldy</t>
  </si>
  <si>
    <t>Law, Graeme</t>
  </si>
  <si>
    <t>Lloyd, Anthony</t>
  </si>
  <si>
    <t>McMahon, Lewis</t>
  </si>
  <si>
    <t>Maidens, Michael</t>
  </si>
  <si>
    <t>(died 19/10/2007)</t>
  </si>
  <si>
    <t>Mallon, Ryan</t>
  </si>
  <si>
    <t>Maloney, Jon</t>
  </si>
  <si>
    <t>Mansaram, Darren</t>
  </si>
  <si>
    <t>Meechan, Alex</t>
  </si>
  <si>
    <t>Plymouth</t>
  </si>
  <si>
    <t>Merris, Dave</t>
  </si>
  <si>
    <t>N'Toya, Tcham</t>
  </si>
  <si>
    <t>Kinshasa, Congo</t>
  </si>
  <si>
    <t>O'Neill, Joe</t>
  </si>
  <si>
    <t>Blackburn, West Lothian</t>
  </si>
  <si>
    <t>Palmer, Jermaine</t>
  </si>
  <si>
    <t>Pearson, Gary</t>
  </si>
  <si>
    <t>Peat, Nathan</t>
  </si>
  <si>
    <t>Porter, Chris</t>
  </si>
  <si>
    <t>Price, Jamie</t>
  </si>
  <si>
    <t>Normanton</t>
  </si>
  <si>
    <t>Robinson, Paul</t>
  </si>
  <si>
    <t>Robinson, Paul D</t>
  </si>
  <si>
    <t>Smith, Shaun</t>
  </si>
  <si>
    <t>Stamp, Darryn</t>
  </si>
  <si>
    <t>Stewart, Bryan</t>
  </si>
  <si>
    <t>Stockdale, David</t>
  </si>
  <si>
    <t>Webster, Byron</t>
  </si>
  <si>
    <t>Woolford, Martyn</t>
  </si>
  <si>
    <t>Pontefract</t>
  </si>
  <si>
    <t>Wroe, Nicky</t>
  </si>
  <si>
    <t>Turnbull, Phil</t>
  </si>
  <si>
    <t>Yalcin, Lev</t>
  </si>
  <si>
    <t>Newcastle United</t>
  </si>
  <si>
    <t>Sheffield United</t>
  </si>
  <si>
    <t>Sheffield Wednesday</t>
  </si>
  <si>
    <t>Notts County</t>
  </si>
  <si>
    <t>FAC SF</t>
  </si>
  <si>
    <t>FAC 3</t>
  </si>
  <si>
    <t>FAC 6, Replay</t>
  </si>
  <si>
    <t>FAC 4, 1st leg</t>
  </si>
  <si>
    <t>Division 3 North</t>
  </si>
  <si>
    <t>FAC 6</t>
  </si>
  <si>
    <t>FAC SF, Replay</t>
  </si>
  <si>
    <t>Hillsborough</t>
  </si>
  <si>
    <t>Roker Park</t>
  </si>
  <si>
    <t>FAC 4, Replay</t>
  </si>
  <si>
    <t>Bolton Wanderers</t>
  </si>
  <si>
    <t>FAC 4</t>
  </si>
  <si>
    <t>Division 2</t>
  </si>
  <si>
    <t>Manchester United</t>
  </si>
  <si>
    <t>FAC 5, Replay</t>
  </si>
  <si>
    <t>Manchester City</t>
  </si>
  <si>
    <t>2nd Division</t>
  </si>
  <si>
    <t>League North War Cup (Proper) SF, 1st Leg</t>
  </si>
  <si>
    <t>COMPETITION</t>
  </si>
  <si>
    <t>CROWD</t>
  </si>
  <si>
    <t>Lost 1-4 on aggregate</t>
  </si>
  <si>
    <t>Lost 2-11 on aggregate</t>
  </si>
  <si>
    <t>Biggest ever crowd to watch York City</t>
  </si>
  <si>
    <t>Biggest ever crowd to watch York City league match</t>
  </si>
  <si>
    <t>Followed record home crowd of 28,123 in first tie (0-0)</t>
  </si>
  <si>
    <t>22,000 saw first tie (0-0)</t>
  </si>
  <si>
    <t>23,600 saw first tie (0-0)</t>
  </si>
  <si>
    <t>13,485 saw first tie (1-1)</t>
  </si>
  <si>
    <t>Relegated after being in bottom 4 for only the last 7 minutes of season</t>
  </si>
  <si>
    <t>FA Trophy Final</t>
  </si>
  <si>
    <t>Wembley</t>
  </si>
  <si>
    <t>HUDDERSFIELD TOWN</t>
  </si>
  <si>
    <t>Swansea Town</t>
  </si>
  <si>
    <t>Norwich City</t>
  </si>
  <si>
    <t>Aston Villa</t>
  </si>
  <si>
    <t>Arsenal</t>
  </si>
  <si>
    <t>Nottingham Forest</t>
  </si>
  <si>
    <t>Division 3</t>
  </si>
  <si>
    <t>FAC 3, Replay</t>
  </si>
  <si>
    <t>League Cup 3</t>
  </si>
  <si>
    <t>League Cup 2, 1st leg</t>
  </si>
  <si>
    <t>Ground record for Bootham Crescent</t>
  </si>
  <si>
    <t>9,463 saw first tie (1-1)</t>
  </si>
  <si>
    <t>13,775 saw first tie (3-3)</t>
  </si>
  <si>
    <t>15,362 saw replay (1-3)</t>
  </si>
  <si>
    <t>12,572 saw first tie (1-1)</t>
  </si>
  <si>
    <t>Won 4-3 on aggregate, with 9,386 at 2nd leg (1-3)</t>
  </si>
  <si>
    <t>Biggest ever crowd to see York City win league match</t>
  </si>
  <si>
    <t>Ground record for Meadow Lane; biggest crowd to see York City win</t>
  </si>
  <si>
    <t>12,583 saw replay (1-2)</t>
  </si>
  <si>
    <t>12,721 saw replay (0-2)</t>
  </si>
  <si>
    <t>Biggest ever crowd to see York City League Cup match</t>
  </si>
  <si>
    <t>In descending order of crowd</t>
  </si>
  <si>
    <t>2009-10</t>
  </si>
  <si>
    <t>Biggest travelling support since 1955 FA Cup semi-finals</t>
  </si>
  <si>
    <t>SEEN</t>
  </si>
  <si>
    <t>(1954-1955)      19</t>
  </si>
  <si>
    <t>(1955-1956)      20</t>
  </si>
  <si>
    <t>(1951-1952)      16</t>
  </si>
  <si>
    <t>(1970-1971)      35</t>
  </si>
  <si>
    <t>(1964-1965)      29</t>
  </si>
  <si>
    <t>(1931-1932)      3</t>
  </si>
  <si>
    <t>(1932-1933)      4</t>
  </si>
  <si>
    <t>(1961-1962)      26</t>
  </si>
  <si>
    <t>(1985-1986)      50</t>
  </si>
  <si>
    <t>(1936-1937)      8</t>
  </si>
  <si>
    <t>(1937-1938)      9</t>
  </si>
  <si>
    <t>(1983-1984)      48</t>
  </si>
  <si>
    <t>(1948-1949)      13</t>
  </si>
  <si>
    <t>(2006-2007)      71</t>
  </si>
  <si>
    <t>(1933-1934)      5</t>
  </si>
  <si>
    <t>(1952-1953)      17</t>
  </si>
  <si>
    <t>(1968-1969)      33</t>
  </si>
  <si>
    <t>(1981-1982)      46</t>
  </si>
  <si>
    <t>(1986-1987)      51</t>
  </si>
  <si>
    <t>(1993-1994)      58</t>
  </si>
  <si>
    <t>(2005-2006)      70</t>
  </si>
  <si>
    <t>(1982-1983)      47</t>
  </si>
  <si>
    <t>(2009-2010)      74</t>
  </si>
  <si>
    <t>R BRODIE</t>
  </si>
  <si>
    <t>ARTHUR BOTTOM</t>
  </si>
  <si>
    <t>BILLY FENTON</t>
  </si>
  <si>
    <t>PAUL AIMSON</t>
  </si>
  <si>
    <t>REG BAINES</t>
  </si>
  <si>
    <t>JIMMY WEIR</t>
  </si>
  <si>
    <t>KEITH WALWYN</t>
  </si>
  <si>
    <t>ANDY BISHOP</t>
  </si>
  <si>
    <t>PAUL BARNES</t>
  </si>
  <si>
    <t>TED MacDOUGALL</t>
  </si>
  <si>
    <t>MAURICE DANDO</t>
  </si>
  <si>
    <t>ALF PATRICK</t>
  </si>
  <si>
    <t>RICHARD BRODIE</t>
  </si>
  <si>
    <t>JOHN BYRNE</t>
  </si>
  <si>
    <t>ALBERT THOMPSON</t>
  </si>
  <si>
    <t>(1934-1935)      6</t>
  </si>
  <si>
    <t>ROBERT MORTIMER</t>
  </si>
  <si>
    <t>(1938-1939)      10</t>
  </si>
  <si>
    <t>DAVID DUNMORE</t>
  </si>
  <si>
    <t>(1953-1954)      18</t>
  </si>
  <si>
    <t>(1956-1957)      21</t>
  </si>
  <si>
    <t>PETER WRAGG</t>
  </si>
  <si>
    <t>(1960-1961)      25</t>
  </si>
  <si>
    <t>(1992-1993)      57</t>
  </si>
  <si>
    <t>Michael Ingham</t>
  </si>
  <si>
    <t>SEASON NO.</t>
  </si>
  <si>
    <t>1-2</t>
  </si>
  <si>
    <t>Conference Play-off Final</t>
  </si>
  <si>
    <t>Oxford Unted</t>
  </si>
  <si>
    <t>Biggest ever crowd at Conference Play-off Final</t>
  </si>
  <si>
    <t>2010-11</t>
  </si>
  <si>
    <t>Gary Mills</t>
  </si>
  <si>
    <t>DARLINGTON</t>
  </si>
  <si>
    <t>2011-12</t>
  </si>
  <si>
    <t>Fleetwood Town</t>
  </si>
  <si>
    <t>A THOMPSON</t>
  </si>
  <si>
    <t>R MORTIMER</t>
  </si>
  <si>
    <t>J WALKER</t>
  </si>
  <si>
    <t>MOST LEAGUE GOALS SCORED IN DEBUT SEASON (Minimum 15)</t>
  </si>
  <si>
    <t>T SPENCER</t>
  </si>
  <si>
    <t>D WALKER</t>
  </si>
  <si>
    <t>J STAINSBY</t>
  </si>
  <si>
    <t>J EDGAR</t>
  </si>
  <si>
    <t>W BOTTRILL</t>
  </si>
  <si>
    <t>KIDDERMINSTER HARRIERS</t>
  </si>
  <si>
    <t>1-3</t>
  </si>
  <si>
    <t>GATESHEAD</t>
  </si>
  <si>
    <t>Musselwhite, Paul</t>
  </si>
  <si>
    <t>Portsmouth</t>
  </si>
  <si>
    <t>MUSSELWHITE, Paul</t>
  </si>
  <si>
    <t>Scott Kerr</t>
  </si>
  <si>
    <t>43years 128days</t>
  </si>
  <si>
    <t>2012-13</t>
  </si>
  <si>
    <t>Mansfield Town</t>
  </si>
  <si>
    <t>Blair 110</t>
  </si>
  <si>
    <t>Doig, Chris</t>
  </si>
  <si>
    <t>Dumfries</t>
  </si>
  <si>
    <t>Fyfield, Jamal</t>
  </si>
  <si>
    <t>Gibson, Ben</t>
  </si>
  <si>
    <t>Meredith, James</t>
  </si>
  <si>
    <t>Oyebanjo, Lanre</t>
  </si>
  <si>
    <t>Smith, Chris</t>
  </si>
  <si>
    <t>Blair, Matty</t>
  </si>
  <si>
    <t>Kerr, Scott</t>
  </si>
  <si>
    <t>Brown, Scott</t>
  </si>
  <si>
    <t>Challinor, Jon</t>
  </si>
  <si>
    <t>Moke, Adriano</t>
  </si>
  <si>
    <t>Pilkington, Danny</t>
  </si>
  <si>
    <t>Chambers, Ashley</t>
  </si>
  <si>
    <t>Blinkhorn, Matthew</t>
  </si>
  <si>
    <t>Reed, Jamie</t>
  </si>
  <si>
    <t>Walker, Jason</t>
  </si>
  <si>
    <t>(died April 2012)</t>
  </si>
  <si>
    <t>FAC1, R</t>
  </si>
  <si>
    <t>AFC Wimbledon</t>
  </si>
  <si>
    <t>Nigel Worthington</t>
  </si>
  <si>
    <t>2013-14</t>
  </si>
  <si>
    <t>Lanre Oyebanjo</t>
  </si>
  <si>
    <t>2014-15</t>
  </si>
  <si>
    <t>FLEETWOOD TOWN</t>
  </si>
  <si>
    <t>50 (Blair)</t>
  </si>
  <si>
    <t xml:space="preserve">PLAY-OFF, 1 </t>
  </si>
  <si>
    <t>PLAY-OFF, 2</t>
  </si>
  <si>
    <t>Russ Wilcox</t>
  </si>
  <si>
    <t>Jarvis, Ryan</t>
  </si>
  <si>
    <t>Fakenham</t>
  </si>
  <si>
    <t>Bowman, Ryan</t>
  </si>
  <si>
    <t>Fletcher, Wes</t>
  </si>
  <si>
    <t>Ormskirk</t>
  </si>
  <si>
    <t>Clay, Craig</t>
  </si>
  <si>
    <t>Puri, Sander</t>
  </si>
  <si>
    <t>Tartu, Estonia</t>
  </si>
  <si>
    <t>Montrose, Lewis</t>
  </si>
  <si>
    <t>Davies, Ben</t>
  </si>
  <si>
    <t>De Girolamo, Diego</t>
  </si>
  <si>
    <t>Penn, Russell</t>
  </si>
  <si>
    <t>Dudley</t>
  </si>
  <si>
    <t>Olejnik, Bobby</t>
  </si>
  <si>
    <t>Vienna, Austria</t>
  </si>
  <si>
    <t>McCoy, Marvin</t>
  </si>
  <si>
    <t>Walthamstow</t>
  </si>
  <si>
    <t>Halliday, Bradley</t>
  </si>
  <si>
    <t>Redcar</t>
  </si>
  <si>
    <t>Benning, Malvind</t>
  </si>
  <si>
    <t>Sandwell</t>
  </si>
  <si>
    <t>Crewe</t>
  </si>
  <si>
    <t>Northampton</t>
  </si>
  <si>
    <t>Grimsby</t>
  </si>
  <si>
    <t>Morley</t>
  </si>
  <si>
    <t>Alvechurch</t>
  </si>
  <si>
    <t>Portugal</t>
  </si>
  <si>
    <t>Larne, Northern Ireland</t>
  </si>
  <si>
    <t>Dorchester</t>
  </si>
  <si>
    <t>Craigavon, NI</t>
  </si>
  <si>
    <t>Nunthorpe</t>
  </si>
  <si>
    <t>Hillingdon</t>
  </si>
  <si>
    <t>Leyton</t>
  </si>
  <si>
    <t>Chester</t>
  </si>
  <si>
    <t>Albury, Australia</t>
  </si>
  <si>
    <t>Hackney</t>
  </si>
  <si>
    <t>Runcorn</t>
  </si>
  <si>
    <t>Blackburn</t>
  </si>
  <si>
    <t>Derry, NI</t>
  </si>
  <si>
    <t>Warwick</t>
  </si>
  <si>
    <t>Warri, Nigeria</t>
  </si>
  <si>
    <t>Hengoed, Wales</t>
  </si>
  <si>
    <t>Keith Lowe</t>
  </si>
  <si>
    <t>2015-16</t>
  </si>
  <si>
    <t>Jackie McNamara</t>
  </si>
  <si>
    <t>Dave Winfield</t>
  </si>
  <si>
    <t>2016-17</t>
  </si>
  <si>
    <t>Nat League (16-17)</t>
  </si>
  <si>
    <t>NAT LEAGUE</t>
  </si>
  <si>
    <t>Maidstone United</t>
  </si>
  <si>
    <t>Gary Mills Record:</t>
  </si>
  <si>
    <t>FA Cup (16-17)</t>
  </si>
  <si>
    <t>FA Trophy (16-17)</t>
  </si>
  <si>
    <t>Gary Mills Combined Record:</t>
  </si>
  <si>
    <t>Sean Newton</t>
  </si>
  <si>
    <t>PARKIN, Jon</t>
  </si>
  <si>
    <t>Macclesfield Town</t>
  </si>
  <si>
    <t>2-2</t>
  </si>
  <si>
    <t>FOREST GREEN ROVERS</t>
  </si>
  <si>
    <t>Includes spectators at FA Vase Final (South Shields 4, Cleethorpes 0)</t>
  </si>
  <si>
    <t>2017-18</t>
  </si>
  <si>
    <t>FA Cup (17-18)</t>
  </si>
  <si>
    <t>% of Points</t>
  </si>
  <si>
    <t>% of Wins</t>
  </si>
  <si>
    <t>Martin Gray</t>
  </si>
  <si>
    <t>Martin Gray's Record:</t>
  </si>
  <si>
    <t>Nat League North (17-18)</t>
  </si>
  <si>
    <t>FA Trophy (17-18)</t>
  </si>
  <si>
    <t>LEAGUE GOALS</t>
  </si>
  <si>
    <t>CLAYTON DONALDSON</t>
  </si>
  <si>
    <t>(2017-2018)      82</t>
  </si>
  <si>
    <t>JON PARKIN</t>
  </si>
  <si>
    <t>PARKIN</t>
  </si>
  <si>
    <t>Jon Parkin</t>
  </si>
  <si>
    <t>2018-19</t>
  </si>
  <si>
    <t>George W (Billy) Sherrington</t>
  </si>
  <si>
    <t>George W (Billy) Sherrington/Tom Lockie</t>
  </si>
  <si>
    <t>Richard Cresswell</t>
  </si>
  <si>
    <t>Steve Torpey</t>
  </si>
  <si>
    <t>Andy Porter</t>
  </si>
  <si>
    <t>Neil Redfearn</t>
  </si>
  <si>
    <t>Barry Swallow</t>
  </si>
  <si>
    <t>Clive Baker</t>
  </si>
  <si>
    <t>Sam Collins</t>
  </si>
  <si>
    <t>Caretaker Managers shown in blue</t>
  </si>
  <si>
    <t>J PARKIN</t>
  </si>
  <si>
    <t>LIST OF YORK CITY PLAYERS WHO HAVE SCORED OVER 20 GOALS IN A SEASON</t>
  </si>
  <si>
    <t>LIST OF YORK CITY PLAYERS WHO HAVE SCORED AT LEAST 20 LEAGUE GOALS IN A SEASON</t>
  </si>
  <si>
    <t>PARSLOW, Daniel</t>
  </si>
  <si>
    <t>Rank (Points)</t>
  </si>
  <si>
    <t>Rank (Wins)</t>
  </si>
  <si>
    <t>Steve Watson</t>
  </si>
  <si>
    <t>DoB also shown as 5 July 1990 and 30 November 1987 on various websites</t>
  </si>
  <si>
    <t>Bartlett, Adam</t>
  </si>
  <si>
    <t>Griffiths, Kallum</t>
  </si>
  <si>
    <t>Newton, Sean</t>
  </si>
  <si>
    <t>Bencherif, Hamza</t>
  </si>
  <si>
    <t>Heslop, Simon</t>
  </si>
  <si>
    <t>Burrow, Jordan</t>
  </si>
  <si>
    <t>Wright, Jake</t>
  </si>
  <si>
    <t>York, Wes</t>
  </si>
  <si>
    <t>Ferguson, David</t>
  </si>
  <si>
    <t>Parkin, Jon</t>
  </si>
  <si>
    <t>Law, Josh</t>
  </si>
  <si>
    <t>Whitley, Ryan</t>
  </si>
  <si>
    <t>Harris, Alex</t>
  </si>
  <si>
    <t>Kempster, Alex</t>
  </si>
  <si>
    <t>Burgess, Scott</t>
  </si>
  <si>
    <t>Bradbury, Tom</t>
  </si>
  <si>
    <t>Mirfin, David</t>
  </si>
  <si>
    <t>Dyer, Nathan</t>
  </si>
  <si>
    <t>Tait, Joe</t>
  </si>
  <si>
    <t>First "millennial"</t>
  </si>
  <si>
    <t>Paris</t>
  </si>
  <si>
    <t>Malton</t>
  </si>
  <si>
    <t>Warrington</t>
  </si>
  <si>
    <t>2019-20</t>
  </si>
  <si>
    <t>2006-19</t>
  </si>
  <si>
    <t>Steve Watson's Record:</t>
  </si>
  <si>
    <t>Nat League North (18-19)</t>
  </si>
  <si>
    <t>Nat League North (19-20)</t>
  </si>
  <si>
    <t>FA Cup (19-20)</t>
  </si>
  <si>
    <t>FAC2Q</t>
  </si>
  <si>
    <t>Irlam</t>
  </si>
  <si>
    <t>Kempster 31, McFarlane 77</t>
  </si>
  <si>
    <t>Live on BBC TV (red button and website)</t>
  </si>
  <si>
    <t>FAC4Q</t>
  </si>
  <si>
    <t>STOCKPORT COUNTY</t>
  </si>
  <si>
    <t>2-0</t>
  </si>
  <si>
    <t>Kempster 26, Newton 28</t>
  </si>
  <si>
    <t>FAT (19-20)</t>
  </si>
  <si>
    <t>BURROW, Jordan</t>
  </si>
  <si>
    <t>2018-20</t>
  </si>
  <si>
    <t>Langstaff, Macaulay</t>
  </si>
  <si>
    <t>NEWTON, Sean</t>
  </si>
  <si>
    <t>Nat League North (20-21)</t>
  </si>
  <si>
    <t>FA Cup (20-21)</t>
  </si>
  <si>
    <t>FAT (20-21)</t>
  </si>
  <si>
    <t>Nat League North Play-Offs (19-20)</t>
  </si>
  <si>
    <t>01 June - 02 August inclusive, except 07 June (and 25 July for 2019-2020 play-off match)</t>
  </si>
  <si>
    <t>2020-21</t>
  </si>
  <si>
    <t>Warrington Rylands</t>
  </si>
  <si>
    <t>Newton 39</t>
  </si>
  <si>
    <t>John Askey</t>
  </si>
  <si>
    <t>(died 28 September 2021)</t>
  </si>
  <si>
    <t>(died 2 November 2021)</t>
  </si>
  <si>
    <t>(died 11 July 2021)</t>
  </si>
  <si>
    <t>(died 7 November 2021)</t>
  </si>
  <si>
    <t>[No award]</t>
  </si>
  <si>
    <t>2021-22</t>
  </si>
  <si>
    <t>Nat League North (21-22)</t>
  </si>
  <si>
    <t>FA Cup (21-22)</t>
  </si>
  <si>
    <t>John Askey's Record:</t>
  </si>
  <si>
    <t>FAT (21-22)</t>
  </si>
  <si>
    <t>L 0-1 v Curzon Ashton (A), NLN</t>
  </si>
  <si>
    <t>D 0-0 v Curzon Ashton (A), NLN</t>
  </si>
  <si>
    <t>D 1-1 v Curzon Ashton (H), NLN</t>
  </si>
  <si>
    <t>L 2-3 v South Shields (A), FAC 3Q</t>
  </si>
  <si>
    <t>Laast Match in Charge</t>
  </si>
  <si>
    <t>D 1-1 v Curzon Ashton (H), FAC 4Q</t>
  </si>
  <si>
    <t>L 1-3 v AFC Wimbledon (H), League 2</t>
  </si>
  <si>
    <t>L 0-2 v Bradford City (H), League 2</t>
  </si>
  <si>
    <t>L 0-5 v Mansfield Town (A), Conference</t>
  </si>
  <si>
    <t>L 0-1 v Cambridge United (A), Conference</t>
  </si>
  <si>
    <t>L 1-3 v Salisbury City (H), Conference</t>
  </si>
  <si>
    <t>L 1-3 v Forest Green Rovers (H), Conference</t>
  </si>
  <si>
    <t>L 1-3 v Newport County (A), League 2</t>
  </si>
  <si>
    <t>3N</t>
  </si>
  <si>
    <t>L 0-1 v Mansfield Town (A), Div. 3</t>
  </si>
  <si>
    <t>L 0-2 v Oxford United (A), Div. 3</t>
  </si>
  <si>
    <t>L 2-4 v Notts County (A), Div. 2</t>
  </si>
  <si>
    <t>D 1-1 v Gillingham (H), Div. 3</t>
  </si>
  <si>
    <t>D 1-1 v Lincoln City (H), Division 4</t>
  </si>
  <si>
    <t>L 1-2 v Scunthorpe United (H), Division 4</t>
  </si>
  <si>
    <t>D 1-1 v Notts County (H), Division 3</t>
  </si>
  <si>
    <t>D 2-2 v Stockport County (H), Division 4</t>
  </si>
  <si>
    <t>W 2-0 v Rochdale (A), Division 4</t>
  </si>
  <si>
    <t>Tier</t>
  </si>
  <si>
    <t>D 1-1 v Swansea City (A), Division 4</t>
  </si>
  <si>
    <t>D 1-1 v Southampton (H), Division 2</t>
  </si>
  <si>
    <t>L 3-4 v Barnsley (H), LC1</t>
  </si>
  <si>
    <t>L 0-1 v Bradford City (H), Division 4</t>
  </si>
  <si>
    <t>L 0-1 v Shrewsbury Town (H), Division 3</t>
  </si>
  <si>
    <t>D 0-0 v Workington (H), Division 3N</t>
  </si>
  <si>
    <t>L 0-1 v Accrington Stanley (A), Division 3N</t>
  </si>
  <si>
    <t>W 3-0 v Stockport County (H), Division 3N</t>
  </si>
  <si>
    <t>D 0-0 v Accrington Stanley (A), Division 3N</t>
  </si>
  <si>
    <t>W 3-0 v Darlington (H), Division 3N</t>
  </si>
  <si>
    <t>L 1-2 v Hull City (A), Division 3N</t>
  </si>
  <si>
    <t>L 2-4 v Rochdale (A), Division 3N</t>
  </si>
  <si>
    <t>2016-22</t>
  </si>
  <si>
    <t>2005-07, 2021-22</t>
  </si>
  <si>
    <t>GOALS PER</t>
  </si>
  <si>
    <t>LEAGUE RANK</t>
  </si>
  <si>
    <t>OVERALL RANK</t>
  </si>
  <si>
    <t>OVERALL GOALS</t>
  </si>
  <si>
    <r>
      <t xml:space="preserve">Live on </t>
    </r>
    <r>
      <rPr>
        <i/>
        <sz val="8"/>
        <rFont val="Calibri"/>
        <family val="2"/>
        <scheme val="minor"/>
      </rPr>
      <t>Sky Sports TV</t>
    </r>
  </si>
  <si>
    <r>
      <t>10,87</t>
    </r>
    <r>
      <rPr>
        <sz val="8"/>
        <color indexed="12"/>
        <rFont val="Calibri"/>
        <family val="2"/>
        <scheme val="minor"/>
      </rPr>
      <t>, Yalcin 91</t>
    </r>
  </si>
  <si>
    <r>
      <t xml:space="preserve">Live on </t>
    </r>
    <r>
      <rPr>
        <i/>
        <sz val="8"/>
        <rFont val="Calibri"/>
        <family val="2"/>
        <scheme val="minor"/>
      </rPr>
      <t xml:space="preserve">Sky Sports TV - </t>
    </r>
    <r>
      <rPr>
        <sz val="8"/>
        <rFont val="Calibri"/>
        <family val="2"/>
        <scheme val="minor"/>
      </rPr>
      <t>match postponed due to rain</t>
    </r>
  </si>
  <si>
    <r>
      <t xml:space="preserve">Bowey (pen) 19, </t>
    </r>
    <r>
      <rPr>
        <sz val="8"/>
        <color indexed="10"/>
        <rFont val="Calibri"/>
        <family val="2"/>
        <scheme val="minor"/>
      </rPr>
      <t>39,46</t>
    </r>
  </si>
  <si>
    <r>
      <t xml:space="preserve">35, </t>
    </r>
    <r>
      <rPr>
        <sz val="8"/>
        <color indexed="12"/>
        <rFont val="Calibri"/>
        <family val="2"/>
        <scheme val="minor"/>
      </rPr>
      <t>Sodje 87</t>
    </r>
  </si>
  <si>
    <r>
      <t xml:space="preserve">Live on </t>
    </r>
    <r>
      <rPr>
        <i/>
        <sz val="8"/>
        <rFont val="Calibri"/>
        <family val="2"/>
        <scheme val="minor"/>
      </rPr>
      <t>Setanta Sports</t>
    </r>
  </si>
  <si>
    <r>
      <t xml:space="preserve">Brodie 19, </t>
    </r>
    <r>
      <rPr>
        <sz val="8"/>
        <color indexed="10"/>
        <rFont val="Calibri"/>
        <family val="2"/>
        <scheme val="minor"/>
      </rPr>
      <t xml:space="preserve">37, </t>
    </r>
    <r>
      <rPr>
        <sz val="8"/>
        <color indexed="12"/>
        <rFont val="Calibri"/>
        <family val="2"/>
        <scheme val="minor"/>
      </rPr>
      <t>Woolford 53,</t>
    </r>
    <r>
      <rPr>
        <sz val="8"/>
        <color indexed="10"/>
        <rFont val="Calibri"/>
        <family val="2"/>
        <scheme val="minor"/>
      </rPr>
      <t xml:space="preserve"> 75, 85</t>
    </r>
  </si>
  <si>
    <r>
      <t xml:space="preserve">16,51, </t>
    </r>
    <r>
      <rPr>
        <sz val="8"/>
        <color indexed="12"/>
        <rFont val="Calibri"/>
        <family val="2"/>
        <scheme val="minor"/>
      </rPr>
      <t>Sodje 57, Woolford 60, Meechan 69</t>
    </r>
  </si>
  <si>
    <r>
      <t xml:space="preserve">Live on </t>
    </r>
    <r>
      <rPr>
        <i/>
        <sz val="8"/>
        <rFont val="Calibri"/>
        <family val="2"/>
        <scheme val="minor"/>
      </rPr>
      <t xml:space="preserve">Setanta Sports </t>
    </r>
    <r>
      <rPr>
        <sz val="8"/>
        <rFont val="Calibri"/>
        <family val="2"/>
        <scheme val="minor"/>
      </rPr>
      <t>- first ever win in live televised match</t>
    </r>
  </si>
  <si>
    <r>
      <t>McBreen 7, Brayson 22,</t>
    </r>
    <r>
      <rPr>
        <sz val="8"/>
        <color indexed="10"/>
        <rFont val="Calibri"/>
        <family val="2"/>
        <scheme val="minor"/>
      </rPr>
      <t xml:space="preserve"> 28</t>
    </r>
    <r>
      <rPr>
        <sz val="8"/>
        <color indexed="12"/>
        <rFont val="Calibri"/>
        <family val="2"/>
        <scheme val="minor"/>
      </rPr>
      <t>, Farrell 80,86</t>
    </r>
  </si>
  <si>
    <r>
      <t xml:space="preserve">Woolford 30, Parslow 40, </t>
    </r>
    <r>
      <rPr>
        <sz val="8"/>
        <color indexed="10"/>
        <rFont val="Calibri"/>
        <family val="2"/>
        <scheme val="minor"/>
      </rPr>
      <t xml:space="preserve">45+1, </t>
    </r>
    <r>
      <rPr>
        <sz val="8"/>
        <color indexed="12"/>
        <rFont val="Calibri"/>
        <family val="2"/>
        <scheme val="minor"/>
      </rPr>
      <t>Sodje 68,</t>
    </r>
    <r>
      <rPr>
        <sz val="8"/>
        <color indexed="10"/>
        <rFont val="Calibri"/>
        <family val="2"/>
        <scheme val="minor"/>
      </rPr>
      <t xml:space="preserve"> 84</t>
    </r>
  </si>
  <si>
    <r>
      <t>Brodie 10,</t>
    </r>
    <r>
      <rPr>
        <sz val="8"/>
        <color indexed="10"/>
        <rFont val="Calibri"/>
        <family val="2"/>
        <scheme val="minor"/>
      </rPr>
      <t xml:space="preserve"> 73</t>
    </r>
  </si>
  <si>
    <r>
      <t>64</t>
    </r>
    <r>
      <rPr>
        <sz val="8"/>
        <color indexed="12"/>
        <rFont val="Calibri"/>
        <family val="2"/>
        <scheme val="minor"/>
      </rPr>
      <t>, Sodje 86</t>
    </r>
  </si>
  <si>
    <r>
      <t>Sodje 34,</t>
    </r>
    <r>
      <rPr>
        <sz val="8"/>
        <color indexed="10"/>
        <rFont val="Calibri"/>
        <family val="2"/>
        <scheme val="minor"/>
      </rPr>
      <t xml:space="preserve"> 52</t>
    </r>
  </si>
  <si>
    <r>
      <t>Smith 52,</t>
    </r>
    <r>
      <rPr>
        <sz val="8"/>
        <color indexed="10"/>
        <rFont val="Calibri"/>
        <family val="2"/>
        <scheme val="minor"/>
      </rPr>
      <t xml:space="preserve"> 60,69</t>
    </r>
  </si>
  <si>
    <r>
      <t xml:space="preserve">Live on </t>
    </r>
    <r>
      <rPr>
        <i/>
        <sz val="8"/>
        <rFont val="Calibri"/>
        <family val="2"/>
        <scheme val="minor"/>
      </rPr>
      <t xml:space="preserve">Setanta Sports - </t>
    </r>
    <r>
      <rPr>
        <sz val="8"/>
        <rFont val="Calibri"/>
        <family val="2"/>
        <scheme val="minor"/>
      </rPr>
      <t>match postponed due to frost</t>
    </r>
  </si>
  <si>
    <r>
      <t xml:space="preserve">Live on </t>
    </r>
    <r>
      <rPr>
        <i/>
        <sz val="8"/>
        <rFont val="Calibri"/>
        <family val="2"/>
        <scheme val="minor"/>
      </rPr>
      <t xml:space="preserve">Setanta Sports </t>
    </r>
    <r>
      <rPr>
        <sz val="8"/>
        <rFont val="Calibri"/>
        <family val="2"/>
        <scheme val="minor"/>
      </rPr>
      <t>- coverage switched to Kidderminster v Burton at last minute</t>
    </r>
  </si>
  <si>
    <r>
      <t>14,20,</t>
    </r>
    <r>
      <rPr>
        <sz val="8"/>
        <color indexed="12"/>
        <rFont val="Calibri"/>
        <family val="2"/>
        <scheme val="minor"/>
      </rPr>
      <t xml:space="preserve">Clarke (og) 41, </t>
    </r>
    <r>
      <rPr>
        <sz val="8"/>
        <color indexed="10"/>
        <rFont val="Calibri"/>
        <family val="2"/>
        <scheme val="minor"/>
      </rPr>
      <t>90+1</t>
    </r>
  </si>
  <si>
    <r>
      <t xml:space="preserve">Live on </t>
    </r>
    <r>
      <rPr>
        <i/>
        <sz val="8"/>
        <rFont val="Calibri"/>
        <family val="2"/>
        <scheme val="minor"/>
      </rPr>
      <t>Premier Sports</t>
    </r>
  </si>
  <si>
    <r>
      <t>4</t>
    </r>
    <r>
      <rPr>
        <sz val="8"/>
        <color indexed="12"/>
        <rFont val="Calibri"/>
        <family val="2"/>
        <scheme val="minor"/>
      </rPr>
      <t xml:space="preserve">, Blair 19, </t>
    </r>
    <r>
      <rPr>
        <sz val="8"/>
        <color indexed="10"/>
        <rFont val="Calibri"/>
        <family val="2"/>
        <scheme val="minor"/>
      </rPr>
      <t xml:space="preserve">20, 32, </t>
    </r>
    <r>
      <rPr>
        <sz val="8"/>
        <color indexed="12"/>
        <rFont val="Calibri"/>
        <family val="2"/>
        <scheme val="minor"/>
      </rPr>
      <t>McGurk 66</t>
    </r>
  </si>
  <si>
    <r>
      <t xml:space="preserve">1,56, </t>
    </r>
    <r>
      <rPr>
        <sz val="8"/>
        <color indexed="12"/>
        <rFont val="Calibri"/>
        <family val="2"/>
        <scheme val="minor"/>
      </rPr>
      <t>Reed 64</t>
    </r>
  </si>
  <si>
    <r>
      <t xml:space="preserve">4, </t>
    </r>
    <r>
      <rPr>
        <sz val="8"/>
        <color indexed="12"/>
        <rFont val="Calibri"/>
        <family val="2"/>
        <scheme val="minor"/>
      </rPr>
      <t>McLaughlin 80, Meredith 85</t>
    </r>
  </si>
  <si>
    <r>
      <t>25,</t>
    </r>
    <r>
      <rPr>
        <sz val="8"/>
        <color indexed="12"/>
        <rFont val="Calibri"/>
        <family val="2"/>
        <scheme val="minor"/>
      </rPr>
      <t>Geoghan (og) 41</t>
    </r>
  </si>
  <si>
    <r>
      <t>1,</t>
    </r>
    <r>
      <rPr>
        <sz val="8"/>
        <color indexed="12"/>
        <rFont val="Calibri"/>
        <family val="2"/>
        <scheme val="minor"/>
      </rPr>
      <t>Chambers 25, Blair 46</t>
    </r>
  </si>
  <si>
    <r>
      <t>Brown (og) 20,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indexed="10"/>
        <rFont val="Calibri"/>
        <family val="2"/>
        <scheme val="minor"/>
      </rPr>
      <t xml:space="preserve">32, 77, </t>
    </r>
    <r>
      <rPr>
        <sz val="8"/>
        <color indexed="12"/>
        <rFont val="Calibri"/>
        <family val="2"/>
        <scheme val="minor"/>
      </rPr>
      <t>Reed 89,119,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indexed="10"/>
        <rFont val="Calibri"/>
        <family val="2"/>
        <scheme val="minor"/>
      </rPr>
      <t>96, 98</t>
    </r>
  </si>
  <si>
    <r>
      <t xml:space="preserve">Live on </t>
    </r>
    <r>
      <rPr>
        <i/>
        <sz val="8"/>
        <rFont val="Calibri"/>
        <family val="2"/>
        <scheme val="minor"/>
      </rPr>
      <t>ESPN</t>
    </r>
  </si>
  <si>
    <r>
      <t>21,</t>
    </r>
    <r>
      <rPr>
        <sz val="8"/>
        <color indexed="12"/>
        <rFont val="Calibri"/>
        <family val="2"/>
        <scheme val="minor"/>
      </rPr>
      <t xml:space="preserve"> Kamdjo 68</t>
    </r>
  </si>
  <si>
    <r>
      <t xml:space="preserve">Live on </t>
    </r>
    <r>
      <rPr>
        <i/>
        <sz val="8"/>
        <rFont val="Calibri"/>
        <family val="2"/>
        <scheme val="minor"/>
      </rPr>
      <t>BT Sport</t>
    </r>
  </si>
  <si>
    <r>
      <t>5,</t>
    </r>
    <r>
      <rPr>
        <sz val="8"/>
        <color indexed="12"/>
        <rFont val="Calibri"/>
        <family val="2"/>
        <scheme val="minor"/>
      </rPr>
      <t xml:space="preserve"> Parkin 33, </t>
    </r>
    <r>
      <rPr>
        <sz val="8"/>
        <color rgb="FFFF0000"/>
        <rFont val="Calibri"/>
        <family val="2"/>
        <scheme val="minor"/>
      </rPr>
      <t>34</t>
    </r>
    <r>
      <rPr>
        <sz val="8"/>
        <color indexed="12"/>
        <rFont val="Calibri"/>
        <family val="2"/>
        <scheme val="minor"/>
      </rPr>
      <t>, Parkin 47</t>
    </r>
  </si>
  <si>
    <r>
      <rPr>
        <sz val="8"/>
        <color rgb="FF0000FF"/>
        <rFont val="Calibri"/>
        <family val="2"/>
        <scheme val="minor"/>
      </rPr>
      <t>Parkin 7,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 xml:space="preserve">12, </t>
    </r>
    <r>
      <rPr>
        <sz val="8"/>
        <color rgb="FF0000FF"/>
        <rFont val="Calibri"/>
        <family val="2"/>
        <scheme val="minor"/>
      </rPr>
      <t>Oliver 21,</t>
    </r>
    <r>
      <rPr>
        <sz val="8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 xml:space="preserve">45+1, </t>
    </r>
    <r>
      <rPr>
        <sz val="8"/>
        <color rgb="FF0000FF"/>
        <rFont val="Calibri"/>
        <family val="2"/>
        <scheme val="minor"/>
      </rPr>
      <t>Connolly 85</t>
    </r>
  </si>
  <si>
    <r>
      <t xml:space="preserve">First highlights appearance on </t>
    </r>
    <r>
      <rPr>
        <i/>
        <sz val="8"/>
        <rFont val="Calibri"/>
        <family val="2"/>
        <scheme val="minor"/>
      </rPr>
      <t>Match of the Day</t>
    </r>
  </si>
  <si>
    <r>
      <t xml:space="preserve">Should have been first Home appearance on </t>
    </r>
    <r>
      <rPr>
        <i/>
        <sz val="8"/>
        <rFont val="Calibri"/>
        <family val="2"/>
        <scheme val="minor"/>
      </rPr>
      <t>Match of the Day</t>
    </r>
    <r>
      <rPr>
        <sz val="8"/>
        <rFont val="Calibri"/>
        <family val="2"/>
        <scheme val="minor"/>
      </rPr>
      <t>, but match on 6/01/79 was postponed due to snow</t>
    </r>
  </si>
  <si>
    <r>
      <t xml:space="preserve">First Home appearance on </t>
    </r>
    <r>
      <rPr>
        <i/>
        <sz val="8"/>
        <rFont val="Calibri"/>
        <family val="2"/>
        <scheme val="minor"/>
      </rPr>
      <t>Match of the Day</t>
    </r>
  </si>
  <si>
    <t>FAC2,R</t>
  </si>
  <si>
    <t>Reading</t>
  </si>
  <si>
    <t xml:space="preserve"> 1-1</t>
  </si>
  <si>
    <t>CREWE ALEXANDRA</t>
  </si>
  <si>
    <t>PLAY-OFF, F</t>
  </si>
  <si>
    <t>FATSF1</t>
  </si>
  <si>
    <t>LINCOLN CITY</t>
  </si>
  <si>
    <t>Salford City</t>
  </si>
  <si>
    <t>FAC3Q</t>
  </si>
  <si>
    <t>Buxton</t>
  </si>
  <si>
    <t>FAT5</t>
  </si>
  <si>
    <t>MORPETH TOWN</t>
  </si>
  <si>
    <t>Droylsden</t>
  </si>
  <si>
    <t>0-2</t>
  </si>
  <si>
    <r>
      <t>27,39</t>
    </r>
    <r>
      <rPr>
        <sz val="8"/>
        <color indexed="12"/>
        <rFont val="Calibri"/>
        <family val="2"/>
        <scheme val="minor"/>
      </rPr>
      <t xml:space="preserve">, Panther 69, Farrell 86, </t>
    </r>
    <r>
      <rPr>
        <sz val="8"/>
        <color indexed="10"/>
        <rFont val="Calibri"/>
        <family val="2"/>
        <scheme val="minor"/>
      </rPr>
      <t>88</t>
    </r>
    <r>
      <rPr>
        <sz val="8"/>
        <color indexed="12"/>
        <rFont val="Calibri"/>
        <family val="2"/>
        <scheme val="minor"/>
      </rPr>
      <t>, Brodie 91,93</t>
    </r>
  </si>
  <si>
    <t>SOUTHPORT</t>
  </si>
  <si>
    <t>2-3</t>
  </si>
  <si>
    <r>
      <rPr>
        <sz val="8"/>
        <color indexed="12"/>
        <rFont val="Calibri"/>
        <family val="2"/>
        <scheme val="minor"/>
      </rPr>
      <t xml:space="preserve">Newton 3, </t>
    </r>
    <r>
      <rPr>
        <sz val="8"/>
        <color rgb="FFFF0000"/>
        <rFont val="Calibri"/>
        <family val="2"/>
        <scheme val="minor"/>
      </rPr>
      <t xml:space="preserve">18, 19, 40, </t>
    </r>
    <r>
      <rPr>
        <sz val="8"/>
        <color rgb="FF0000FF"/>
        <rFont val="Calibri"/>
        <family val="2"/>
        <scheme val="minor"/>
      </rPr>
      <t>Oliver 45+1, Parkin 63, 77, Morgan-Smith 71</t>
    </r>
  </si>
  <si>
    <t>LEYTON ORIENT</t>
  </si>
  <si>
    <r>
      <t>13</t>
    </r>
    <r>
      <rPr>
        <sz val="8"/>
        <rFont val="Calibri"/>
        <family val="2"/>
        <scheme val="minor"/>
      </rPr>
      <t>, Conlon 52, 64</t>
    </r>
  </si>
  <si>
    <r>
      <t>1,</t>
    </r>
    <r>
      <rPr>
        <sz val="8"/>
        <color indexed="8"/>
        <rFont val="Calibri"/>
        <family val="2"/>
        <scheme val="minor"/>
      </rPr>
      <t xml:space="preserve"> McNiven 17, Mathie 60</t>
    </r>
  </si>
  <si>
    <t xml:space="preserve"> 2-2 </t>
  </si>
  <si>
    <r>
      <t>31,</t>
    </r>
    <r>
      <rPr>
        <sz val="8"/>
        <color indexed="8"/>
        <rFont val="Calibri"/>
        <family val="2"/>
        <scheme val="minor"/>
      </rPr>
      <t xml:space="preserve"> Hulme 33,88, McNiven 39,</t>
    </r>
    <r>
      <rPr>
        <sz val="8"/>
        <color indexed="10"/>
        <rFont val="Calibri"/>
        <family val="2"/>
        <scheme val="minor"/>
      </rPr>
      <t xml:space="preserve"> 45</t>
    </r>
  </si>
  <si>
    <r>
      <t xml:space="preserve">24, </t>
    </r>
    <r>
      <rPr>
        <sz val="8"/>
        <color indexed="8"/>
        <rFont val="Calibri"/>
        <family val="2"/>
        <scheme val="minor"/>
      </rPr>
      <t>Potter 56, Alcide 59, Nogan 69</t>
    </r>
  </si>
  <si>
    <t>SOUTHEND UNITED</t>
  </si>
  <si>
    <r>
      <t>14</t>
    </r>
    <r>
      <rPr>
        <sz val="8"/>
        <color indexed="8"/>
        <rFont val="Calibri"/>
        <family val="2"/>
        <scheme val="minor"/>
      </rPr>
      <t>,</t>
    </r>
    <r>
      <rPr>
        <sz val="8"/>
        <color indexed="1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Nogan 15,</t>
    </r>
    <r>
      <rPr>
        <sz val="8"/>
        <color indexed="1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Proctor 65</t>
    </r>
  </si>
  <si>
    <r>
      <t>40</t>
    </r>
    <r>
      <rPr>
        <sz val="8"/>
        <color indexed="8"/>
        <rFont val="Calibri"/>
        <family val="2"/>
        <scheme val="minor"/>
      </rPr>
      <t>, Nogan 44, Parkin 54, Proctor 67</t>
    </r>
  </si>
  <si>
    <t>SHREWSBURY TOWN</t>
  </si>
  <si>
    <r>
      <t>13</t>
    </r>
    <r>
      <rPr>
        <sz val="8"/>
        <color indexed="8"/>
        <rFont val="Calibri"/>
        <family val="2"/>
        <scheme val="minor"/>
      </rPr>
      <t>, Duffield 47, Parkin 73</t>
    </r>
  </si>
  <si>
    <r>
      <t>8</t>
    </r>
    <r>
      <rPr>
        <sz val="8"/>
        <color indexed="8"/>
        <rFont val="Calibri"/>
        <family val="2"/>
        <scheme val="minor"/>
      </rPr>
      <t xml:space="preserve">, Brass 27, </t>
    </r>
    <r>
      <rPr>
        <sz val="8"/>
        <color indexed="10"/>
        <rFont val="Calibri"/>
        <family val="2"/>
        <scheme val="minor"/>
      </rPr>
      <t>57</t>
    </r>
    <r>
      <rPr>
        <sz val="8"/>
        <color indexed="8"/>
        <rFont val="Calibri"/>
        <family val="2"/>
        <scheme val="minor"/>
      </rPr>
      <t>, Parkin 79, Bullock 86</t>
    </r>
  </si>
  <si>
    <t>CAMBRIDGE UNITED</t>
  </si>
  <si>
    <r>
      <t>6</t>
    </r>
    <r>
      <rPr>
        <sz val="8"/>
        <color indexed="8"/>
        <rFont val="Calibri"/>
        <family val="2"/>
        <scheme val="minor"/>
      </rPr>
      <t>, Parkin 48, Nogan 49, Shandran 90</t>
    </r>
  </si>
  <si>
    <t>WOKING</t>
  </si>
  <si>
    <r>
      <t xml:space="preserve">58, </t>
    </r>
    <r>
      <rPr>
        <sz val="8"/>
        <color indexed="12"/>
        <rFont val="Calibri"/>
        <family val="2"/>
        <scheme val="minor"/>
      </rPr>
      <t>Bishop (pen) 75, Dudgeon 78</t>
    </r>
  </si>
  <si>
    <t>SCARBOROUGH</t>
  </si>
  <si>
    <r>
      <t xml:space="preserve">20, </t>
    </r>
    <r>
      <rPr>
        <sz val="8"/>
        <color indexed="12"/>
        <rFont val="Calibri"/>
        <family val="2"/>
        <scheme val="minor"/>
      </rPr>
      <t>Bishop 45+1, Donaldson 56, McGurk 84</t>
    </r>
  </si>
  <si>
    <t>ALDERSHOT TOWN</t>
  </si>
  <si>
    <r>
      <t xml:space="preserve">15, </t>
    </r>
    <r>
      <rPr>
        <sz val="8"/>
        <color indexed="12"/>
        <rFont val="Calibri"/>
        <family val="2"/>
        <scheme val="minor"/>
      </rPr>
      <t xml:space="preserve">Convery 33, Bishop 48, Donaldson 51, </t>
    </r>
    <r>
      <rPr>
        <sz val="8"/>
        <color indexed="10"/>
        <rFont val="Calibri"/>
        <family val="2"/>
        <scheme val="minor"/>
      </rPr>
      <t>81</t>
    </r>
  </si>
  <si>
    <r>
      <t xml:space="preserve">2, </t>
    </r>
    <r>
      <rPr>
        <sz val="8"/>
        <color indexed="12"/>
        <rFont val="Calibri"/>
        <family val="2"/>
        <scheme val="minor"/>
      </rPr>
      <t>Dudgeon 32, N Bishop 47, A Bishop 72</t>
    </r>
  </si>
  <si>
    <r>
      <t xml:space="preserve">39, </t>
    </r>
    <r>
      <rPr>
        <sz val="8"/>
        <color indexed="12"/>
        <rFont val="Calibri"/>
        <family val="2"/>
        <scheme val="minor"/>
      </rPr>
      <t>og 54, Woolford 68</t>
    </r>
  </si>
  <si>
    <r>
      <t xml:space="preserve">2, </t>
    </r>
    <r>
      <rPr>
        <sz val="8"/>
        <color indexed="12"/>
        <rFont val="Calibri"/>
        <family val="2"/>
        <scheme val="minor"/>
      </rPr>
      <t>Donaldson 40,49, Bowey 53</t>
    </r>
  </si>
  <si>
    <t>DROYLSDEN</t>
  </si>
  <si>
    <r>
      <t xml:space="preserve">5, </t>
    </r>
    <r>
      <rPr>
        <sz val="8"/>
        <color indexed="12"/>
        <rFont val="Calibri"/>
        <family val="2"/>
        <scheme val="minor"/>
      </rPr>
      <t>Farrell (pen) 21, Kelly 53</t>
    </r>
  </si>
  <si>
    <t>EBBSFLEET UNITED</t>
  </si>
  <si>
    <r>
      <t xml:space="preserve">25, </t>
    </r>
    <r>
      <rPr>
        <sz val="8"/>
        <color indexed="12"/>
        <rFont val="Calibri"/>
        <family val="2"/>
        <scheme val="minor"/>
      </rPr>
      <t>Smith A 59, Brodie 66, Sodje 76</t>
    </r>
  </si>
  <si>
    <r>
      <t>45+1</t>
    </r>
    <r>
      <rPr>
        <sz val="8"/>
        <color indexed="12"/>
        <rFont val="Calibri"/>
        <family val="2"/>
        <scheme val="minor"/>
      </rPr>
      <t>, Brodie 54, Gash 79</t>
    </r>
  </si>
  <si>
    <r>
      <t>1</t>
    </r>
    <r>
      <rPr>
        <sz val="8"/>
        <color indexed="12"/>
        <rFont val="Calibri"/>
        <family val="2"/>
        <scheme val="minor"/>
      </rPr>
      <t>, Brodie 7 (pen), 31, Gash 57,</t>
    </r>
    <r>
      <rPr>
        <sz val="8"/>
        <color indexed="10"/>
        <rFont val="Calibri"/>
        <family val="2"/>
        <scheme val="minor"/>
      </rPr>
      <t xml:space="preserve"> 61</t>
    </r>
  </si>
  <si>
    <t>Tamworth</t>
  </si>
  <si>
    <r>
      <t>17</t>
    </r>
    <r>
      <rPr>
        <sz val="8"/>
        <color indexed="12"/>
        <rFont val="Calibri"/>
        <family val="2"/>
        <scheme val="minor"/>
      </rPr>
      <t>, Ferrell 39, Brodie 60, Sangare 77,</t>
    </r>
    <r>
      <rPr>
        <sz val="8"/>
        <color indexed="10"/>
        <rFont val="Calibri"/>
        <family val="2"/>
        <scheme val="minor"/>
      </rPr>
      <t xml:space="preserve"> 86</t>
    </r>
  </si>
  <si>
    <t>ALTRINCHAM</t>
  </si>
  <si>
    <r>
      <t xml:space="preserve">62, </t>
    </r>
    <r>
      <rPr>
        <sz val="8"/>
        <color indexed="12"/>
        <rFont val="Calibri"/>
        <family val="2"/>
        <scheme val="minor"/>
      </rPr>
      <t>McGurk 68, Brodie 90+3 (pen)</t>
    </r>
  </si>
  <si>
    <t>Histon</t>
  </si>
  <si>
    <r>
      <t xml:space="preserve">39, </t>
    </r>
    <r>
      <rPr>
        <sz val="8"/>
        <color indexed="12"/>
        <rFont val="Calibri"/>
        <family val="2"/>
        <scheme val="minor"/>
      </rPr>
      <t>Constantine 75, Till 85</t>
    </r>
  </si>
  <si>
    <r>
      <t xml:space="preserve">27, </t>
    </r>
    <r>
      <rPr>
        <sz val="8"/>
        <color indexed="12"/>
        <rFont val="Calibri"/>
        <family val="2"/>
        <scheme val="minor"/>
      </rPr>
      <t>Reed 58, 68</t>
    </r>
  </si>
  <si>
    <t>Ebbsfleet United</t>
  </si>
  <si>
    <r>
      <t>79,</t>
    </r>
    <r>
      <rPr>
        <sz val="8"/>
        <color indexed="12"/>
        <rFont val="Calibri"/>
        <family val="2"/>
        <scheme val="minor"/>
      </rPr>
      <t xml:space="preserve"> Walker 82 (pen), 90+1</t>
    </r>
  </si>
  <si>
    <t>GRIMSBY TOWN</t>
  </si>
  <si>
    <r>
      <t>3</t>
    </r>
    <r>
      <rPr>
        <sz val="8"/>
        <color indexed="12"/>
        <rFont val="Calibri"/>
        <family val="2"/>
        <scheme val="minor"/>
      </rPr>
      <t>, Walker 33, Chambers 85</t>
    </r>
  </si>
  <si>
    <r>
      <t xml:space="preserve">51, </t>
    </r>
    <r>
      <rPr>
        <sz val="8"/>
        <color indexed="12"/>
        <rFont val="Calibri"/>
        <family val="2"/>
        <scheme val="minor"/>
      </rPr>
      <t>Reed 83, Blinkhorn 90+5</t>
    </r>
  </si>
  <si>
    <t>Hartlepool United</t>
  </si>
  <si>
    <r>
      <t>26,</t>
    </r>
    <r>
      <rPr>
        <sz val="8"/>
        <color indexed="8"/>
        <rFont val="Calibri"/>
        <family val="2"/>
        <scheme val="minor"/>
      </rPr>
      <t xml:space="preserve"> Lowe 52,54, Hyde 62</t>
    </r>
  </si>
  <si>
    <t>MORECAMBE</t>
  </si>
  <si>
    <r>
      <t>9,</t>
    </r>
    <r>
      <rPr>
        <sz val="8"/>
        <color indexed="8"/>
        <rFont val="Calibri"/>
        <family val="2"/>
        <scheme val="minor"/>
      </rPr>
      <t xml:space="preserve"> Zubar 33, Penn 51</t>
    </r>
  </si>
  <si>
    <t>4-1</t>
  </si>
  <si>
    <r>
      <t>7,</t>
    </r>
    <r>
      <rPr>
        <sz val="8"/>
        <color indexed="12"/>
        <rFont val="Calibri"/>
        <family val="2"/>
        <scheme val="minor"/>
      </rPr>
      <t xml:space="preserve"> Brodie 8, Klukowski 12, Wright 19, Connolly 25</t>
    </r>
  </si>
  <si>
    <t>Darlington</t>
  </si>
  <si>
    <r>
      <rPr>
        <sz val="8"/>
        <color rgb="FFFF0000"/>
        <rFont val="Calibri"/>
        <family val="2"/>
        <scheme val="minor"/>
      </rPr>
      <t xml:space="preserve">43, </t>
    </r>
    <r>
      <rPr>
        <sz val="8"/>
        <color rgb="FF0000FF"/>
        <rFont val="Calibri"/>
        <family val="2"/>
        <scheme val="minor"/>
      </rPr>
      <t>Newton 46, Parkin (pen) 50</t>
    </r>
  </si>
  <si>
    <t>GUISELEY</t>
  </si>
  <si>
    <r>
      <rPr>
        <sz val="8"/>
        <color rgb="FFFF0000"/>
        <rFont val="Calibri"/>
        <family val="2"/>
        <scheme val="minor"/>
      </rPr>
      <t>3 (pen),</t>
    </r>
    <r>
      <rPr>
        <sz val="8"/>
        <color rgb="FF0000FF"/>
        <rFont val="Calibri"/>
        <family val="2"/>
        <scheme val="minor"/>
      </rPr>
      <t xml:space="preserve"> Langstaff 15, Burrow 36, Newton 78 (pen), 81, </t>
    </r>
    <r>
      <rPr>
        <sz val="8"/>
        <color rgb="FFFF0000"/>
        <rFont val="Calibri"/>
        <family val="2"/>
        <scheme val="minor"/>
      </rPr>
      <t>83</t>
    </r>
  </si>
  <si>
    <t>Southport</t>
  </si>
  <si>
    <r>
      <t xml:space="preserve">7 (pen), </t>
    </r>
    <r>
      <rPr>
        <sz val="8"/>
        <color rgb="FF0000FF"/>
        <rFont val="Calibri"/>
        <family val="2"/>
        <scheme val="minor"/>
      </rPr>
      <t>Burrow 41,</t>
    </r>
    <r>
      <rPr>
        <sz val="8"/>
        <color indexed="10"/>
        <rFont val="Calibri"/>
        <family val="2"/>
        <scheme val="minor"/>
      </rPr>
      <t xml:space="preserve"> </t>
    </r>
    <r>
      <rPr>
        <sz val="8"/>
        <color rgb="FF0000FF"/>
        <rFont val="Calibri"/>
        <family val="2"/>
        <scheme val="minor"/>
      </rPr>
      <t>Heslop 82</t>
    </r>
  </si>
  <si>
    <t>Alfreton Town</t>
  </si>
  <si>
    <r>
      <rPr>
        <sz val="8"/>
        <color rgb="FF0000FF"/>
        <rFont val="Calibri"/>
        <family val="2"/>
        <scheme val="minor"/>
      </rPr>
      <t>Newton 10,</t>
    </r>
    <r>
      <rPr>
        <sz val="8"/>
        <color indexed="10"/>
        <rFont val="Calibri"/>
        <family val="2"/>
        <scheme val="minor"/>
      </rPr>
      <t xml:space="preserve"> 35, 50, </t>
    </r>
    <r>
      <rPr>
        <sz val="8"/>
        <color rgb="FF0000FF"/>
        <rFont val="Calibri"/>
        <family val="2"/>
        <scheme val="minor"/>
      </rPr>
      <t>Kempster 84, Burrow (pen) 88</t>
    </r>
  </si>
  <si>
    <t>Bradford Park Avenue</t>
  </si>
  <si>
    <r>
      <rPr>
        <sz val="8"/>
        <color rgb="FFFF0000"/>
        <rFont val="Calibri"/>
        <family val="2"/>
        <scheme val="minor"/>
      </rPr>
      <t xml:space="preserve">53, </t>
    </r>
    <r>
      <rPr>
        <sz val="8"/>
        <color rgb="FF0000FF"/>
        <rFont val="Calibri"/>
        <family val="2"/>
        <scheme val="minor"/>
      </rPr>
      <t>McLaughlin 66, Burrow 79, Langstaff 90</t>
    </r>
  </si>
  <si>
    <r>
      <rPr>
        <sz val="8"/>
        <color rgb="FFFF0000"/>
        <rFont val="Calibri"/>
        <family val="2"/>
        <scheme val="minor"/>
      </rPr>
      <t xml:space="preserve">11, </t>
    </r>
    <r>
      <rPr>
        <sz val="8"/>
        <color rgb="FF0000FF"/>
        <rFont val="Calibri"/>
        <family val="2"/>
        <scheme val="minor"/>
      </rPr>
      <t>(og) 43, Tait 51, Burrow 59</t>
    </r>
  </si>
  <si>
    <r>
      <t xml:space="preserve">26, </t>
    </r>
    <r>
      <rPr>
        <sz val="8"/>
        <color rgb="FF0000FF"/>
        <rFont val="Calibri"/>
        <family val="2"/>
        <scheme val="minor"/>
      </rPr>
      <t xml:space="preserve">Newton 53, </t>
    </r>
    <r>
      <rPr>
        <sz val="8"/>
        <color rgb="FFFF0000"/>
        <rFont val="Calibri"/>
        <family val="2"/>
        <scheme val="minor"/>
      </rPr>
      <t xml:space="preserve">64, </t>
    </r>
    <r>
      <rPr>
        <sz val="8"/>
        <color rgb="FF0000FF"/>
        <rFont val="Calibri"/>
        <family val="2"/>
        <scheme val="minor"/>
      </rPr>
      <t>Newton 65, Bunn 76</t>
    </r>
  </si>
  <si>
    <t>DEFICIT OVERCOME (1)</t>
  </si>
  <si>
    <t>DEFICIT OVERCOME (2)</t>
  </si>
  <si>
    <r>
      <t>24</t>
    </r>
    <r>
      <rPr>
        <sz val="8"/>
        <color indexed="8"/>
        <rFont val="Calibri"/>
        <family val="2"/>
        <scheme val="minor"/>
      </rPr>
      <t>, Agnew 29, Alcide 87, Iwelumo 90+1</t>
    </r>
  </si>
  <si>
    <r>
      <t xml:space="preserve">1, </t>
    </r>
    <r>
      <rPr>
        <sz val="8"/>
        <color indexed="12"/>
        <rFont val="Calibri"/>
        <family val="2"/>
        <scheme val="minor"/>
      </rPr>
      <t>Chambers 25, Blair 46</t>
    </r>
  </si>
  <si>
    <r>
      <t xml:space="preserve">13, </t>
    </r>
    <r>
      <rPr>
        <sz val="8"/>
        <color rgb="FF0000FF"/>
        <rFont val="Calibri"/>
        <family val="2"/>
        <scheme val="minor"/>
      </rPr>
      <t>Oliver 52, Connolly 68</t>
    </r>
  </si>
  <si>
    <r>
      <t xml:space="preserve">25, 64, </t>
    </r>
    <r>
      <rPr>
        <sz val="8"/>
        <color rgb="FF0000FF"/>
        <rFont val="Calibri"/>
        <family val="2"/>
        <scheme val="minor"/>
      </rPr>
      <t>Hancox 69, 77, Brown 88</t>
    </r>
  </si>
  <si>
    <t>MATCH</t>
  </si>
  <si>
    <t>LGE POSITION</t>
  </si>
  <si>
    <r>
      <rPr>
        <sz val="8"/>
        <color rgb="FFFF0000"/>
        <rFont val="Calibri"/>
        <family val="2"/>
        <scheme val="minor"/>
      </rPr>
      <t>10,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rgb="FF0000FF"/>
        <rFont val="Calibri"/>
        <family val="2"/>
        <scheme val="minor"/>
      </rPr>
      <t>Brown (og) 49, Dyer 80</t>
    </r>
  </si>
  <si>
    <r>
      <t>32</t>
    </r>
    <r>
      <rPr>
        <sz val="8"/>
        <color indexed="8"/>
        <rFont val="Calibri"/>
        <family val="2"/>
        <scheme val="minor"/>
      </rPr>
      <t xml:space="preserve">, </t>
    </r>
    <r>
      <rPr>
        <sz val="8"/>
        <color rgb="FF0000FF"/>
        <rFont val="Calibri"/>
        <family val="2"/>
        <scheme val="minor"/>
      </rPr>
      <t>Brodie 38, 86,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indexed="10"/>
        <rFont val="Calibri"/>
        <family val="2"/>
        <scheme val="minor"/>
      </rPr>
      <t>40</t>
    </r>
    <r>
      <rPr>
        <sz val="8"/>
        <color indexed="8"/>
        <rFont val="Calibri"/>
        <family val="2"/>
        <scheme val="minor"/>
      </rPr>
      <t xml:space="preserve">, </t>
    </r>
    <r>
      <rPr>
        <sz val="8"/>
        <color rgb="FF0000FF"/>
        <rFont val="Calibri"/>
        <family val="2"/>
        <scheme val="minor"/>
      </rPr>
      <t>Pacquette 84</t>
    </r>
  </si>
  <si>
    <r>
      <rPr>
        <sz val="8"/>
        <color rgb="FFFF0000"/>
        <rFont val="Calibri"/>
        <family val="2"/>
        <scheme val="minor"/>
      </rPr>
      <t>45+1,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rgb="FF0000FF"/>
        <rFont val="Calibri"/>
        <family val="2"/>
        <scheme val="minor"/>
      </rPr>
      <t>Parkin 53, 84</t>
    </r>
  </si>
  <si>
    <t>SEASON/MATCH</t>
  </si>
  <si>
    <t>Stockport County</t>
  </si>
  <si>
    <t>Beck, Gardner, Fenoughty</t>
  </si>
  <si>
    <t>Tranmere Rovers</t>
  </si>
  <si>
    <t>Gardner, Fenoughty, Millar, Bottrill</t>
  </si>
  <si>
    <t>Jenkins 2, Dando</t>
  </si>
  <si>
    <t>Walsall</t>
  </si>
  <si>
    <t>Jenkins 2, Eyres</t>
  </si>
  <si>
    <t>Baines 3</t>
  </si>
  <si>
    <t>Spooner 2, Scott</t>
  </si>
  <si>
    <t>Lincoln City</t>
  </si>
  <si>
    <t>Porritt, Mortimer, Brenen</t>
  </si>
  <si>
    <t>Carlisle United</t>
  </si>
  <si>
    <t>Hathway, Scott, Brenen</t>
  </si>
  <si>
    <t>Hartlepools United</t>
  </si>
  <si>
    <t>Brigham (pen), M Patrick, A Patrick</t>
  </si>
  <si>
    <t>Wrexham</t>
  </si>
  <si>
    <t>A Patrick 2, Storey</t>
  </si>
  <si>
    <t>Crewe Alexandra</t>
  </si>
  <si>
    <t>A Patrick 2, Walker</t>
  </si>
  <si>
    <t>Walker 2, M Patrick</t>
  </si>
  <si>
    <t>Warrender 2, Hughes</t>
  </si>
  <si>
    <t>Bottom 3, Wilkinson 2, McNab</t>
  </si>
  <si>
    <t>Fenton 2, Hughes</t>
  </si>
  <si>
    <t>Fenton 4, Bottom</t>
  </si>
  <si>
    <t>Fenton 2, Hughes, Bottom</t>
  </si>
  <si>
    <t>Wilkinson 3, Fenton 2</t>
  </si>
  <si>
    <t>Wragg 2, Hughes, Addison</t>
  </si>
  <si>
    <t>Wragg 3, Hughes, Addison</t>
  </si>
  <si>
    <t>Aimson 2, Pearson</t>
  </si>
  <si>
    <t>Aimson 3, Dunmore</t>
  </si>
  <si>
    <t>Bournemouth</t>
  </si>
  <si>
    <t>Aimson, Stone 2</t>
  </si>
  <si>
    <t>Swansea City</t>
  </si>
  <si>
    <t>Rowles, Aimson, og</t>
  </si>
  <si>
    <t>Jones 2, Seal</t>
  </si>
  <si>
    <t>Jones, Seal, Holmes</t>
  </si>
  <si>
    <t>Walwyn 2, Byrne</t>
  </si>
  <si>
    <t>Byrne 2, Sbragia</t>
  </si>
  <si>
    <t>Ford, Walwyn, Byrne</t>
  </si>
  <si>
    <t>Colchester United</t>
  </si>
  <si>
    <t>MacPhail, Walwyn, Pearce</t>
  </si>
  <si>
    <t>Orient</t>
  </si>
  <si>
    <t>Walwyn, Byrne, Nicholson</t>
  </si>
  <si>
    <t xml:space="preserve">Walsall                   </t>
  </si>
  <si>
    <t xml:space="preserve"> 2-1 </t>
  </si>
  <si>
    <t>Cresswell 1,22, Tinkler 84</t>
  </si>
  <si>
    <t xml:space="preserve">Fulham                    </t>
  </si>
  <si>
    <t xml:space="preserve"> 1-2 </t>
  </si>
  <si>
    <t>Agnew 29,85, Tolson 49</t>
  </si>
  <si>
    <t>Woking</t>
  </si>
  <si>
    <t>Sodje 4,49, Woolford 71</t>
  </si>
  <si>
    <t>Blyth Spartans</t>
  </si>
  <si>
    <t>Griffiths 17, Kempster 24, Green 51</t>
  </si>
  <si>
    <t>Spennymoor Town</t>
  </si>
  <si>
    <t>3-1</t>
  </si>
  <si>
    <r>
      <rPr>
        <sz val="8"/>
        <color rgb="FF0000FF"/>
        <rFont val="Calibri"/>
        <family val="2"/>
        <scheme val="minor"/>
      </rPr>
      <t>Newton 18, Curtis (og) 24, Griffiths 42,</t>
    </r>
    <r>
      <rPr>
        <sz val="8"/>
        <color indexed="10"/>
        <rFont val="Calibri"/>
        <family val="2"/>
        <scheme val="minor"/>
      </rPr>
      <t xml:space="preserve"> 43, </t>
    </r>
    <r>
      <rPr>
        <sz val="8"/>
        <color rgb="FF0000FF"/>
        <rFont val="Calibri"/>
        <family val="2"/>
        <scheme val="minor"/>
      </rPr>
      <t>Moke 76</t>
    </r>
  </si>
  <si>
    <t>Gloucester City</t>
  </si>
  <si>
    <r>
      <rPr>
        <sz val="8"/>
        <color rgb="FF0000FF"/>
        <rFont val="Calibri"/>
        <family val="2"/>
        <scheme val="minor"/>
      </rPr>
      <t>Kempster 6,</t>
    </r>
    <r>
      <rPr>
        <sz val="8"/>
        <color indexed="10"/>
        <rFont val="Calibri"/>
        <family val="2"/>
        <scheme val="minor"/>
      </rPr>
      <t xml:space="preserve"> 31, 36, </t>
    </r>
    <r>
      <rPr>
        <sz val="8"/>
        <color rgb="FF0000FF"/>
        <rFont val="Calibri"/>
        <family val="2"/>
        <scheme val="minor"/>
      </rPr>
      <t>Burrow 39, Kempster 49</t>
    </r>
  </si>
  <si>
    <t>Donaldson 25, McKay 29, McLaughlin 70</t>
  </si>
  <si>
    <r>
      <t xml:space="preserve">Wright 19, </t>
    </r>
    <r>
      <rPr>
        <sz val="8"/>
        <color rgb="FFFF0000"/>
        <rFont val="Calibri"/>
        <family val="2"/>
        <scheme val="minor"/>
      </rPr>
      <t xml:space="preserve">29, </t>
    </r>
    <r>
      <rPr>
        <sz val="8"/>
        <color rgb="FF0000FF"/>
        <rFont val="Calibri"/>
        <family val="2"/>
        <scheme val="minor"/>
      </rPr>
      <t xml:space="preserve">Duckworth 36, Hancox 39. </t>
    </r>
    <r>
      <rPr>
        <sz val="8"/>
        <color rgb="FFFF0000"/>
        <rFont val="Calibri"/>
        <family val="2"/>
        <scheme val="minor"/>
      </rPr>
      <t xml:space="preserve">53, </t>
    </r>
    <r>
      <rPr>
        <sz val="8"/>
        <color rgb="FF0000FF"/>
        <rFont val="Calibri"/>
        <family val="2"/>
        <scheme val="minor"/>
      </rPr>
      <t>Hancox 89</t>
    </r>
  </si>
  <si>
    <t>OCCURRENCE</t>
  </si>
  <si>
    <t>AFC TELFORD UNITED</t>
  </si>
  <si>
    <r>
      <t xml:space="preserve">McKay 16, Wright 45+1, </t>
    </r>
    <r>
      <rPr>
        <sz val="8"/>
        <color rgb="FFFF0000"/>
        <rFont val="Calibri"/>
        <family val="2"/>
        <scheme val="minor"/>
      </rPr>
      <t xml:space="preserve">77, </t>
    </r>
    <r>
      <rPr>
        <sz val="8"/>
        <color rgb="FF0000FF"/>
        <rFont val="Calibri"/>
        <family val="2"/>
        <scheme val="minor"/>
      </rPr>
      <t>Kouogun 81</t>
    </r>
  </si>
  <si>
    <t>McLaughlin 42, Hancox 62, 63</t>
  </si>
  <si>
    <t>Wilkinson, Storey, Fenton</t>
  </si>
  <si>
    <t>Bottom 2, Wilkinson</t>
  </si>
  <si>
    <t>CHESTER</t>
  </si>
  <si>
    <t>Hughes, Bottom 2, Fenton 2</t>
  </si>
  <si>
    <t>Brentford</t>
  </si>
  <si>
    <t>Banton (pen), Mills, Senior</t>
  </si>
  <si>
    <t>SWANSEA CITY</t>
  </si>
  <si>
    <t>Walwyn, Banton, Canham</t>
  </si>
  <si>
    <t>BLACKPOOL</t>
  </si>
  <si>
    <t>Canham 2, Banton</t>
  </si>
  <si>
    <t>Hood (pen), Canham, Ford</t>
  </si>
  <si>
    <t>Peter Jameson</t>
  </si>
  <si>
    <t>2022-23</t>
  </si>
  <si>
    <t>Nat League North Play-Offs (21-22)</t>
  </si>
  <si>
    <t>L 1-2 v Altrincham (A), NL</t>
  </si>
  <si>
    <t>Nat League (22-23)</t>
  </si>
  <si>
    <t>FA Cup (22-23)</t>
  </si>
  <si>
    <t>BROMLEY</t>
  </si>
  <si>
    <r>
      <t xml:space="preserve">37, </t>
    </r>
    <r>
      <rPr>
        <sz val="8"/>
        <color rgb="FF0000FF"/>
        <rFont val="Calibri"/>
        <family val="2"/>
        <scheme val="minor"/>
      </rPr>
      <t>Bingham (og) 62, Duku 90+32</t>
    </r>
  </si>
  <si>
    <t>Missed - watching QP v ICT</t>
  </si>
  <si>
    <t>Setanta 12, Sky 10, Premier 8, BT Sport 5, BBC 2, ESPN 1</t>
  </si>
  <si>
    <t>Wins&gt;Losses</t>
  </si>
  <si>
    <t>Yes</t>
  </si>
  <si>
    <t>Solihull Moors</t>
  </si>
  <si>
    <r>
      <t xml:space="preserve">89, </t>
    </r>
    <r>
      <rPr>
        <sz val="8"/>
        <color rgb="FF0000FF"/>
        <rFont val="Calibri"/>
        <family val="2"/>
        <scheme val="minor"/>
      </rPr>
      <t>Duku 90+1</t>
    </r>
  </si>
  <si>
    <r>
      <rPr>
        <sz val="8"/>
        <color indexed="12"/>
        <rFont val="Calibri"/>
        <family val="2"/>
        <scheme val="minor"/>
      </rPr>
      <t xml:space="preserve">Kouogun 14, </t>
    </r>
    <r>
      <rPr>
        <sz val="8"/>
        <color rgb="FFFF0000"/>
        <rFont val="Calibri"/>
        <family val="2"/>
        <scheme val="minor"/>
      </rPr>
      <t>52, 73</t>
    </r>
  </si>
  <si>
    <r>
      <t xml:space="preserve">56, </t>
    </r>
    <r>
      <rPr>
        <sz val="8"/>
        <color rgb="FF0000FF"/>
        <rFont val="Calibri"/>
        <family val="2"/>
        <scheme val="minor"/>
      </rPr>
      <t>John-Lewis 64</t>
    </r>
  </si>
  <si>
    <t>Askey, John</t>
  </si>
  <si>
    <t>Tim Ryan</t>
  </si>
  <si>
    <t>David Webb</t>
  </si>
  <si>
    <t>David Webb's Record:</t>
  </si>
  <si>
    <t>FAT (22-23)</t>
  </si>
  <si>
    <t>Ross, Ethan</t>
  </si>
  <si>
    <t>Crookes, Adam</t>
  </si>
  <si>
    <t>Duckworth, Michael</t>
  </si>
  <si>
    <t>Fallowfield, Ryan</t>
  </si>
  <si>
    <t>Kerr, Fraser</t>
  </si>
  <si>
    <t>Kouogun, Maxim</t>
  </si>
  <si>
    <t>Sanders, Sam</t>
  </si>
  <si>
    <t>Whittle, Alex</t>
  </si>
  <si>
    <t>Dyson, Olly</t>
  </si>
  <si>
    <t>Greaves, AJ</t>
  </si>
  <si>
    <t>Hancox, Mitch</t>
  </si>
  <si>
    <t>Hurst, Alex</t>
  </si>
  <si>
    <t>McLaughlin, Paddy</t>
  </si>
  <si>
    <t>Pybus, Dan</t>
  </si>
  <si>
    <t>Mafuta, Gus</t>
  </si>
  <si>
    <t>Thomas, Nathan</t>
  </si>
  <si>
    <t>Duku, Manny</t>
  </si>
  <si>
    <t>James, Luke</t>
  </si>
  <si>
    <t>John-Lewis, Lenell</t>
  </si>
  <si>
    <t>Kouhyar, Maz</t>
  </si>
  <si>
    <t>Enfield</t>
  </si>
  <si>
    <t>Cameroon</t>
  </si>
  <si>
    <t>Rutherglen</t>
  </si>
  <si>
    <t>Hammersmith</t>
  </si>
  <si>
    <t>Rinteln, Germany</t>
  </si>
  <si>
    <t>Ingleby Barwick, Thornaby</t>
  </si>
  <si>
    <t>Badakhshan, Afghanistan</t>
  </si>
  <si>
    <t>Amble</t>
  </si>
  <si>
    <t>Solihull</t>
  </si>
  <si>
    <t>Amsterdam, Netherlands</t>
  </si>
  <si>
    <t>(died 2010)</t>
  </si>
  <si>
    <t>MAIDSTONE UNITED</t>
  </si>
  <si>
    <r>
      <t>58 secs,</t>
    </r>
    <r>
      <rPr>
        <sz val="8"/>
        <color indexed="12"/>
        <rFont val="Calibri"/>
        <family val="2"/>
        <scheme val="minor"/>
      </rPr>
      <t xml:space="preserve"> </t>
    </r>
    <r>
      <rPr>
        <sz val="8"/>
        <color rgb="FF0000FF"/>
        <rFont val="Calibri"/>
        <family val="2"/>
        <scheme val="minor"/>
      </rPr>
      <t>Forde 5, Zouma (og) 8, Forde 38, 81</t>
    </r>
  </si>
  <si>
    <t>NL3</t>
  </si>
  <si>
    <t>FAC1Q</t>
  </si>
  <si>
    <t>WOMBWELL</t>
  </si>
  <si>
    <t>Holland 3, Ranby, Loughram (pen)</t>
  </si>
  <si>
    <t>NL4</t>
  </si>
  <si>
    <t>GUISBOROUGH BELMONT</t>
  </si>
  <si>
    <t>Clayton 3, Ranby, Loughram</t>
  </si>
  <si>
    <t>HULL CITY</t>
  </si>
  <si>
    <t>Agar 3, Thompson 2</t>
  </si>
  <si>
    <t>WEST BROMWICH ALBION</t>
  </si>
  <si>
    <t>Dorchester Town</t>
  </si>
  <si>
    <t>Bottom 3, Wilkinson, Fenton</t>
  </si>
  <si>
    <t>BANGOR CITY</t>
  </si>
  <si>
    <t>Aimson 3, Provan, Weddle</t>
  </si>
  <si>
    <t>Ross 3, MacDougall, Baker (pen)</t>
  </si>
  <si>
    <t>FAC1,R</t>
  </si>
  <si>
    <t>TAMWORTH</t>
  </si>
  <si>
    <t>Aimson 3, Boyer, Hewitt</t>
  </si>
  <si>
    <t>LC1,1</t>
  </si>
  <si>
    <t>Mills, Walwyn 3</t>
  </si>
  <si>
    <t>FRT, G</t>
  </si>
  <si>
    <t>Gabbiadini 3, Walwyn</t>
  </si>
  <si>
    <t>LC1,2</t>
  </si>
  <si>
    <t>Warburton, Spooner 3</t>
  </si>
  <si>
    <t>LDC, G</t>
  </si>
  <si>
    <t>Helliwell 3, Canham 2, Spooner, Tutill</t>
  </si>
  <si>
    <t>RUSHALL OLYMPIC</t>
  </si>
  <si>
    <t>Sodje 18,59,Farrell 77,85,90, Wroe 92</t>
  </si>
  <si>
    <t>FAT1, R</t>
  </si>
  <si>
    <t>HINCKLEY UNITED</t>
  </si>
  <si>
    <r>
      <rPr>
        <sz val="8"/>
        <color rgb="FF0000FF"/>
        <rFont val="Calibri"/>
        <family val="2"/>
        <scheme val="minor"/>
      </rPr>
      <t>Brodie 35 (pen),</t>
    </r>
    <r>
      <rPr>
        <sz val="8"/>
        <color indexed="8"/>
        <rFont val="Calibri"/>
        <family val="2"/>
        <scheme val="minor"/>
      </rPr>
      <t xml:space="preserve"> </t>
    </r>
    <r>
      <rPr>
        <sz val="8"/>
        <color indexed="10"/>
        <rFont val="Calibri"/>
        <family val="2"/>
        <scheme val="minor"/>
      </rPr>
      <t>47</t>
    </r>
    <r>
      <rPr>
        <sz val="8"/>
        <color indexed="8"/>
        <rFont val="Calibri"/>
        <family val="2"/>
        <scheme val="minor"/>
      </rPr>
      <t xml:space="preserve">, </t>
    </r>
    <r>
      <rPr>
        <sz val="8"/>
        <color rgb="FF0000FF"/>
        <rFont val="Calibri"/>
        <family val="2"/>
        <scheme val="minor"/>
      </rPr>
      <t>Brodie 59, 90</t>
    </r>
  </si>
  <si>
    <t>FAC4Q, R</t>
  </si>
  <si>
    <t>Morpeth Town</t>
  </si>
  <si>
    <t xml:space="preserve"> 2-0 </t>
  </si>
  <si>
    <r>
      <rPr>
        <sz val="8"/>
        <rFont val="Calibri"/>
        <family val="2"/>
        <scheme val="minor"/>
      </rPr>
      <t xml:space="preserve">Willoughby 17, 29, 54, </t>
    </r>
    <r>
      <rPr>
        <sz val="8"/>
        <color indexed="10"/>
        <rFont val="Calibri"/>
        <family val="2"/>
        <scheme val="minor"/>
      </rPr>
      <t>55</t>
    </r>
  </si>
  <si>
    <t>NL2</t>
  </si>
  <si>
    <t>FACPQ</t>
  </si>
  <si>
    <t>HORSFORTH</t>
  </si>
  <si>
    <t>Marshall 5, Miller 2</t>
  </si>
  <si>
    <t>NL6</t>
  </si>
  <si>
    <t>STOCKTON</t>
  </si>
  <si>
    <t>Cowie 6, Ranby</t>
  </si>
  <si>
    <t>FA Cup (12)</t>
  </si>
  <si>
    <t>T</t>
  </si>
  <si>
    <t>League Cup (2)</t>
  </si>
  <si>
    <t>FA Trophy (1)</t>
  </si>
  <si>
    <t>EFL Cup (2)</t>
  </si>
  <si>
    <t>WIGAN BOROUGH</t>
  </si>
  <si>
    <t>Bottrill 3, Gardner</t>
  </si>
  <si>
    <t>Millar 3, Bottrill</t>
  </si>
  <si>
    <t>HARTLEPOOLS UNITED</t>
  </si>
  <si>
    <t>Cowie 3, Millar</t>
  </si>
  <si>
    <t>NEW BRIGHTON</t>
  </si>
  <si>
    <t>Baines 3, Jenkinson</t>
  </si>
  <si>
    <t>Rochdale</t>
  </si>
  <si>
    <t>Baines 3, Spooner, Fenoughty</t>
  </si>
  <si>
    <t>Baines 3, McDonald 2, Jenkinson, Fenoughty</t>
  </si>
  <si>
    <t>Baines 3 (1 pen), Fenoughty</t>
  </si>
  <si>
    <t>BARROW</t>
  </si>
  <si>
    <t>Hathway 3, Dando 2, Jenkinson</t>
  </si>
  <si>
    <t>ROCHDALE</t>
  </si>
  <si>
    <t>Dando 3, Hathway 2, Lax</t>
  </si>
  <si>
    <t>ROTHERHAM UNITED</t>
  </si>
  <si>
    <t>Dando 3, Eyres, Bowater</t>
  </si>
  <si>
    <t>WALSALL</t>
  </si>
  <si>
    <t>Hughes 3, Bowater</t>
  </si>
  <si>
    <t>CARLISLE UNITED</t>
  </si>
  <si>
    <t>Dando 3, Eyres 2, Pawson, og</t>
  </si>
  <si>
    <t>Thompson 3</t>
  </si>
  <si>
    <t>Thompson 3, Scott, Spooner</t>
  </si>
  <si>
    <t>A Patrick 4, M Patrick 2</t>
  </si>
  <si>
    <t>A Patrick 3</t>
  </si>
  <si>
    <t>A Patrick 5, Brigham (pen)</t>
  </si>
  <si>
    <t>A Patrick 3, Allen</t>
  </si>
  <si>
    <t>Spence 3 (2pnes), A Patrick 2</t>
  </si>
  <si>
    <t>ACCRINGTON STANLEY</t>
  </si>
  <si>
    <t>Fenton 3, Brown, Griffiths, A Patrick</t>
  </si>
  <si>
    <t>OLDHAM ATHLETIC</t>
  </si>
  <si>
    <t>A Patrick 3, Fenton 2</t>
  </si>
  <si>
    <t>Hughes, A Patrick 3, Fenton 2</t>
  </si>
  <si>
    <t>Dunmore 3, Storey, Fenton</t>
  </si>
  <si>
    <t>Bottom 4 (1pen), Wilkinson 2, Brown, Wragg, Fenton</t>
  </si>
  <si>
    <t>Wilkinson 3, Wragg</t>
  </si>
  <si>
    <t>TRANMERE ROVERS</t>
  </si>
  <si>
    <t>Farmer 3, Patterson</t>
  </si>
  <si>
    <t>Edgar 3</t>
  </si>
  <si>
    <t>WORKINGTON</t>
  </si>
  <si>
    <t>Addison 3, og</t>
  </si>
  <si>
    <t>ALDERSHOT</t>
  </si>
  <si>
    <t>Wragg 3, Weir</t>
  </si>
  <si>
    <t>Wragg 4, Wilkinson</t>
  </si>
  <si>
    <t>Weir 3, Stainsby</t>
  </si>
  <si>
    <t>GILLINGHAM</t>
  </si>
  <si>
    <t>Stainsby 3, Rudd</t>
  </si>
  <si>
    <t>DONCASTER ROVERS</t>
  </si>
  <si>
    <t>Wragg 3, Weir, og</t>
  </si>
  <si>
    <t>Weir 3, Gould</t>
  </si>
  <si>
    <t>Wilkinson 3</t>
  </si>
  <si>
    <t>Weddle 3, Baker</t>
  </si>
  <si>
    <t>PORT VALE</t>
  </si>
  <si>
    <t>MacDougall 3, Baker, og</t>
  </si>
  <si>
    <t>BRENTFORD</t>
  </si>
  <si>
    <t>Aimson 3, Boyer</t>
  </si>
  <si>
    <t>Aimson 3, Swallow</t>
  </si>
  <si>
    <t>Staniforth 3 (1pen), McDonald</t>
  </si>
  <si>
    <t>Wigan Athletic</t>
  </si>
  <si>
    <t>Staniforth 3, Loggie, Lorimer</t>
  </si>
  <si>
    <t>Walwyn 3, Pollard 2, Crosby</t>
  </si>
  <si>
    <t>CHESTER CITY</t>
  </si>
  <si>
    <t>Byrne 3, MacPhail</t>
  </si>
  <si>
    <t>Byrne 3, Walwyn</t>
  </si>
  <si>
    <t>Houchen 3, og, Pearce 2, Walwyn</t>
  </si>
  <si>
    <t>Canham 3 (1pen), Walwyn 2, Houchen, Senior</t>
  </si>
  <si>
    <t>Blackstone 3, Warburton</t>
  </si>
  <si>
    <t>SCUNTHORPE UNITED</t>
  </si>
  <si>
    <t xml:space="preserve">Barnes 4, Blackstone                       </t>
  </si>
  <si>
    <t>Barnet</t>
  </si>
  <si>
    <t xml:space="preserve">Barnes 3, Blackstone, Barnett og            </t>
  </si>
  <si>
    <t>Barnes 11,35,60, McCarthy 44</t>
  </si>
  <si>
    <t>Barnes 27,38,74, Naylor 48</t>
  </si>
  <si>
    <t>Bull 11,15,58</t>
  </si>
  <si>
    <r>
      <t>O'Neill 3,36,80,</t>
    </r>
    <r>
      <rPr>
        <sz val="8"/>
        <color indexed="10"/>
        <rFont val="Calibri"/>
        <family val="2"/>
        <scheme val="minor"/>
      </rPr>
      <t>5,</t>
    </r>
    <r>
      <rPr>
        <sz val="8"/>
        <color indexed="12"/>
        <rFont val="Calibri"/>
        <family val="2"/>
        <scheme val="minor"/>
      </rPr>
      <t>Convery 18</t>
    </r>
  </si>
  <si>
    <r>
      <t>A Bishop 14 (pen),38,40, McGurk 23,</t>
    </r>
    <r>
      <rPr>
        <sz val="8"/>
        <color indexed="10"/>
        <rFont val="Calibri"/>
        <family val="2"/>
        <scheme val="minor"/>
      </rPr>
      <t>33</t>
    </r>
    <r>
      <rPr>
        <sz val="8"/>
        <color indexed="12"/>
        <rFont val="Calibri"/>
        <family val="2"/>
        <scheme val="minor"/>
      </rPr>
      <t>,Thomas 60</t>
    </r>
  </si>
  <si>
    <t>Cambridge United</t>
  </si>
  <si>
    <t>Farrell 20, Donaldson 32,62,71, Kovacs 46</t>
  </si>
  <si>
    <t>AFC WIMBLEDON</t>
  </si>
  <si>
    <t>4-0</t>
  </si>
  <si>
    <t>Rankine 35 secs, 69, Brodie 16 (pen), 21, 34 (pen)</t>
  </si>
  <si>
    <t>League Matches (65)</t>
  </si>
  <si>
    <t>Michael Morton</t>
  </si>
  <si>
    <t>L 2-3 v Solihull Moors (H), NL</t>
  </si>
  <si>
    <r>
      <t>18,</t>
    </r>
    <r>
      <rPr>
        <sz val="8"/>
        <color indexed="12"/>
        <rFont val="Calibri"/>
        <family val="2"/>
        <scheme val="minor"/>
      </rPr>
      <t xml:space="preserve"> </t>
    </r>
    <r>
      <rPr>
        <sz val="8"/>
        <color rgb="FF0000FF"/>
        <rFont val="Calibri"/>
        <family val="2"/>
        <scheme val="minor"/>
      </rPr>
      <t>Dyson 40, Duckworth 51, McLaughlin 72</t>
    </r>
  </si>
  <si>
    <t>Olly Dyson</t>
  </si>
  <si>
    <t>North Ferriby United</t>
  </si>
  <si>
    <t>3-0</t>
  </si>
  <si>
    <r>
      <t xml:space="preserve">Parkin 18, 39, 86, Burn 44, </t>
    </r>
    <r>
      <rPr>
        <sz val="8"/>
        <color rgb="FFFF0000"/>
        <rFont val="Calibri"/>
        <family val="2"/>
        <scheme val="minor"/>
      </rPr>
      <t>47</t>
    </r>
  </si>
  <si>
    <t>Dagenham &amp; Redbridge</t>
  </si>
  <si>
    <r>
      <t xml:space="preserve">59, </t>
    </r>
    <r>
      <rPr>
        <sz val="8"/>
        <color rgb="FF0000FF"/>
        <rFont val="Calibri"/>
        <family val="2"/>
        <scheme val="minor"/>
      </rPr>
      <t>John-Lewis 84, Akinyemi 90+3</t>
    </r>
  </si>
  <si>
    <t>2023-24</t>
  </si>
  <si>
    <t>WIGAN ATHLETIC</t>
  </si>
  <si>
    <r>
      <t xml:space="preserve">48, </t>
    </r>
    <r>
      <rPr>
        <sz val="8"/>
        <color rgb="FF0000FF"/>
        <rFont val="Calibri"/>
        <family val="2"/>
        <scheme val="minor"/>
      </rPr>
      <t>McLaughlin 90+2</t>
    </r>
  </si>
  <si>
    <t>Setanta 12, Sky 10, Premier 8, BT Sport 6, BBC 2, ESPN 1</t>
  </si>
  <si>
    <t>Setanta 12, Sky 10, Premier 8, BT Sport 7, BBC 2, ESPN 1</t>
  </si>
  <si>
    <r>
      <t>Live on TN</t>
    </r>
    <r>
      <rPr>
        <i/>
        <sz val="8"/>
        <rFont val="Calibri"/>
        <family val="2"/>
        <scheme val="minor"/>
      </rPr>
      <t>T Sport (ex-BT Sport)</t>
    </r>
  </si>
  <si>
    <t>Setanta 12, Sky 10, Premier 8, BT/TNT Sport 8, BBC 2, ESPN 1</t>
  </si>
  <si>
    <t>Setanta 12, Sky 10, Premier 8, BT/TNT Sport 8, BBC 3, ESPN 1</t>
  </si>
  <si>
    <t>L 1-3 v Rochdale (H), NL</t>
  </si>
  <si>
    <t>Tony McMahon</t>
  </si>
  <si>
    <t>Mikey Morton's Record:</t>
  </si>
  <si>
    <t>Nat League (23-24)</t>
  </si>
  <si>
    <t>FA Cup (23-24)</t>
  </si>
  <si>
    <t>FAT (23-24)</t>
  </si>
  <si>
    <t>SUB</t>
  </si>
  <si>
    <t>13=</t>
  </si>
  <si>
    <t>Neal Ardley</t>
  </si>
  <si>
    <t>Neal Ardley's Record:</t>
  </si>
  <si>
    <r>
      <t xml:space="preserve">Live on </t>
    </r>
    <r>
      <rPr>
        <i/>
        <sz val="8"/>
        <rFont val="Calibri"/>
        <family val="2"/>
        <scheme val="minor"/>
      </rPr>
      <t>BBC2 TV</t>
    </r>
  </si>
  <si>
    <t>JOHN-LEWIS, Lenell</t>
  </si>
  <si>
    <t>2021-24</t>
  </si>
  <si>
    <t>1931-33, 1937-38</t>
  </si>
  <si>
    <t>1954-65</t>
  </si>
  <si>
    <t>1964-66, 1969-73</t>
  </si>
  <si>
    <t>2006-11, 2016-17</t>
  </si>
  <si>
    <t>1972-78, 1981-84</t>
  </si>
  <si>
    <t>1979-85</t>
  </si>
  <si>
    <t>2001-04, 2016-19</t>
  </si>
  <si>
    <t>1951-62</t>
  </si>
  <si>
    <t>1984-89</t>
  </si>
  <si>
    <t>1964-69</t>
  </si>
  <si>
    <t>1987-91</t>
  </si>
  <si>
    <t>1946-52</t>
  </si>
  <si>
    <t>1972-77</t>
  </si>
  <si>
    <t>1931-33, 1935-38</t>
  </si>
  <si>
    <t>1951-54, 1965-67</t>
  </si>
  <si>
    <t>1976-80, 1987-88</t>
  </si>
  <si>
    <t>1973-78</t>
  </si>
  <si>
    <t>1968-71</t>
  </si>
  <si>
    <t>1990-96</t>
  </si>
  <si>
    <t>1977-82</t>
  </si>
  <si>
    <t>1961-66</t>
  </si>
  <si>
    <t>1958-61</t>
  </si>
  <si>
    <t>LEAGUE CUP</t>
  </si>
  <si>
    <t>Adam Hinshelwood</t>
  </si>
  <si>
    <t>Adam Hinshelwood's Record:</t>
  </si>
  <si>
    <t>L 0-2 v Barnet (A), NL</t>
  </si>
  <si>
    <t>Adam Hinshelwood's rank (out of 38):</t>
  </si>
  <si>
    <r>
      <rPr>
        <sz val="8"/>
        <color rgb="FFFF0000"/>
        <rFont val="Calibri"/>
        <family val="2"/>
        <scheme val="minor"/>
      </rPr>
      <t xml:space="preserve">5, </t>
    </r>
    <r>
      <rPr>
        <sz val="8"/>
        <color rgb="FF0000FF"/>
        <rFont val="Calibri"/>
        <family val="2"/>
        <scheme val="minor"/>
      </rPr>
      <t>Kouhyar 53, Akinyemi 70</t>
    </r>
  </si>
  <si>
    <t>Ryan Fallowfield</t>
  </si>
  <si>
    <t>Nat League (24-25)</t>
  </si>
  <si>
    <t>FA Cup (24-25)</t>
  </si>
  <si>
    <t>2024-25</t>
  </si>
  <si>
    <t>BRAINTREE TOWN</t>
  </si>
  <si>
    <r>
      <t xml:space="preserve">3, </t>
    </r>
    <r>
      <rPr>
        <sz val="8"/>
        <color rgb="FF0000FF"/>
        <rFont val="Calibri"/>
        <family val="2"/>
        <scheme val="minor"/>
      </rPr>
      <t>Aguiar 17, Nathaniel-George 41</t>
    </r>
  </si>
  <si>
    <t>BARNET</t>
  </si>
  <si>
    <r>
      <rPr>
        <sz val="8"/>
        <color rgb="FFFF0000"/>
        <rFont val="Calibri"/>
        <family val="2"/>
        <scheme val="minor"/>
      </rPr>
      <t>36</t>
    </r>
    <r>
      <rPr>
        <sz val="8"/>
        <color rgb="FF0000FF"/>
        <rFont val="Calibri"/>
        <family val="2"/>
        <scheme val="minor"/>
      </rPr>
      <t>, Armstrong 45+1, Hunt 73, Pearce 75</t>
    </r>
  </si>
  <si>
    <t>Live on Swedish TV (they  showed a Saturday 3pm game every week for a number of years)</t>
  </si>
  <si>
    <r>
      <t xml:space="preserve">Live on </t>
    </r>
    <r>
      <rPr>
        <i/>
        <sz val="8"/>
        <rFont val="Times New Roman"/>
        <family val="1"/>
      </rPr>
      <t>Sky Sports TV</t>
    </r>
  </si>
  <si>
    <t>DIV 2</t>
  </si>
  <si>
    <t>Oxford</t>
  </si>
  <si>
    <t>Live on Central TV</t>
  </si>
  <si>
    <t>ADDED</t>
  </si>
  <si>
    <t>Friendly</t>
  </si>
  <si>
    <t>TBC</t>
  </si>
  <si>
    <r>
      <t>1</t>
    </r>
    <r>
      <rPr>
        <sz val="8"/>
        <color indexed="12"/>
        <rFont val="Times New Roman"/>
        <family val="1"/>
      </rPr>
      <t>, Pepper 5; Stephenson 45</t>
    </r>
  </si>
  <si>
    <t>Live on "Live TV" but without the Norwegian weather girls, 4 team pre season tournament in Edinburgh (Livingston).  Queens Park also compete</t>
  </si>
  <si>
    <t>Livingston</t>
  </si>
  <si>
    <r>
      <t>Tolson 5,</t>
    </r>
    <r>
      <rPr>
        <sz val="8"/>
        <color rgb="FFFF0000"/>
        <rFont val="Times New Roman"/>
        <family val="1"/>
      </rPr>
      <t xml:space="preserve"> 18</t>
    </r>
    <r>
      <rPr>
        <sz val="8"/>
        <color indexed="10"/>
        <rFont val="Times New Roman"/>
        <family val="1"/>
      </rPr>
      <t xml:space="preserve">,20, </t>
    </r>
    <r>
      <rPr>
        <sz val="8"/>
        <color rgb="FF0000FF"/>
        <rFont val="Times New Roman"/>
        <family val="1"/>
      </rPr>
      <t>Tolson 45</t>
    </r>
  </si>
  <si>
    <t>Live on "Live TV" but without the Norwegian weather girls, 4 team pre season tournament in Edinburgh (Livingston). City  lose 4-3 on penalties after 90 minutes (Hall miss decisive penalty)</t>
  </si>
  <si>
    <r>
      <t>10,87</t>
    </r>
    <r>
      <rPr>
        <sz val="8"/>
        <color indexed="12"/>
        <rFont val="Times New Roman"/>
        <family val="1"/>
      </rPr>
      <t>, Yalcin 91</t>
    </r>
  </si>
  <si>
    <r>
      <t xml:space="preserve">Live on </t>
    </r>
    <r>
      <rPr>
        <i/>
        <sz val="8"/>
        <rFont val="Times New Roman"/>
        <family val="1"/>
      </rPr>
      <t xml:space="preserve">Sky Sports TV - </t>
    </r>
    <r>
      <rPr>
        <sz val="8"/>
        <rFont val="Times New Roman"/>
        <family val="1"/>
      </rPr>
      <t>match postponed due to rain</t>
    </r>
  </si>
  <si>
    <t>CONF P/O SF L2</t>
  </si>
  <si>
    <r>
      <t xml:space="preserve">Bowey (pen) 19, </t>
    </r>
    <r>
      <rPr>
        <sz val="8"/>
        <color indexed="10"/>
        <rFont val="Times New Roman"/>
        <family val="1"/>
      </rPr>
      <t>39,46</t>
    </r>
  </si>
  <si>
    <t>BLUE SQ</t>
  </si>
  <si>
    <t>Exeter</t>
  </si>
  <si>
    <r>
      <t>38</t>
    </r>
    <r>
      <rPr>
        <sz val="8"/>
        <color indexed="12"/>
        <rFont val="Times New Roman"/>
        <family val="1"/>
      </rPr>
      <t>, Sodje 87</t>
    </r>
  </si>
  <si>
    <r>
      <t xml:space="preserve">Live on </t>
    </r>
    <r>
      <rPr>
        <i/>
        <sz val="8"/>
        <rFont val="Times New Roman"/>
        <family val="1"/>
      </rPr>
      <t>Setanta</t>
    </r>
  </si>
  <si>
    <r>
      <t>38,</t>
    </r>
    <r>
      <rPr>
        <sz val="8"/>
        <color indexed="12"/>
        <rFont val="Times New Roman"/>
        <family val="1"/>
      </rPr>
      <t xml:space="preserve"> Brodie, Woolford, </t>
    </r>
    <r>
      <rPr>
        <sz val="8"/>
        <color indexed="10"/>
        <rFont val="Times New Roman"/>
        <family val="1"/>
      </rPr>
      <t>78, 87</t>
    </r>
  </si>
  <si>
    <t>HALIFAX</t>
  </si>
  <si>
    <r>
      <t>17,52</t>
    </r>
    <r>
      <rPr>
        <sz val="8"/>
        <color indexed="12"/>
        <rFont val="Times New Roman"/>
        <family val="1"/>
      </rPr>
      <t>, Sodje 58, Woolford 61, Meechan 70</t>
    </r>
  </si>
  <si>
    <t>TORQUAY</t>
  </si>
  <si>
    <r>
      <t xml:space="preserve">McBreen 8, Brayson 23, </t>
    </r>
    <r>
      <rPr>
        <sz val="8"/>
        <color indexed="10"/>
        <rFont val="Times New Roman"/>
        <family val="1"/>
      </rPr>
      <t>38,</t>
    </r>
    <r>
      <rPr>
        <sz val="8"/>
        <color indexed="12"/>
        <rFont val="Times New Roman"/>
        <family val="1"/>
      </rPr>
      <t xml:space="preserve"> Farrell 81, Farrell 87</t>
    </r>
  </si>
  <si>
    <t>EXETER</t>
  </si>
  <si>
    <r>
      <t xml:space="preserve">Woolford 31, Parslow 41, </t>
    </r>
    <r>
      <rPr>
        <sz val="8"/>
        <color indexed="10"/>
        <rFont val="Times New Roman"/>
        <family val="1"/>
      </rPr>
      <t>45,</t>
    </r>
    <r>
      <rPr>
        <sz val="8"/>
        <color indexed="12"/>
        <rFont val="Times New Roman"/>
        <family val="1"/>
      </rPr>
      <t xml:space="preserve"> Sodje 69, </t>
    </r>
    <r>
      <rPr>
        <sz val="8"/>
        <color indexed="10"/>
        <rFont val="Times New Roman"/>
        <family val="1"/>
      </rPr>
      <t>85</t>
    </r>
  </si>
  <si>
    <t>NORTHWICH</t>
  </si>
  <si>
    <r>
      <t xml:space="preserve">Brodie 11, </t>
    </r>
    <r>
      <rPr>
        <sz val="8"/>
        <color indexed="10"/>
        <rFont val="Times New Roman"/>
        <family val="1"/>
      </rPr>
      <t>74</t>
    </r>
  </si>
  <si>
    <r>
      <t xml:space="preserve">Live on </t>
    </r>
    <r>
      <rPr>
        <i/>
        <sz val="8"/>
        <rFont val="Times New Roman"/>
        <family val="1"/>
      </rPr>
      <t>Setanta.  48, including a handful of Wrexham fans, attend London branch screening.</t>
    </r>
  </si>
  <si>
    <t>Torquay</t>
  </si>
  <si>
    <r>
      <t>65</t>
    </r>
    <r>
      <rPr>
        <sz val="8"/>
        <color indexed="12"/>
        <rFont val="Times New Roman"/>
        <family val="1"/>
      </rPr>
      <t>, Sodje 87</t>
    </r>
  </si>
  <si>
    <t>Live on Setanta.  27 attend London branch screening.</t>
  </si>
  <si>
    <t>MANSFIELD</t>
  </si>
  <si>
    <r>
      <t xml:space="preserve">Sodje 35, </t>
    </r>
    <r>
      <rPr>
        <sz val="8"/>
        <color indexed="10"/>
        <rFont val="Times New Roman"/>
        <family val="1"/>
      </rPr>
      <t>52</t>
    </r>
  </si>
  <si>
    <r>
      <t xml:space="preserve">Smith 53, </t>
    </r>
    <r>
      <rPr>
        <sz val="8"/>
        <color indexed="10"/>
        <rFont val="Times New Roman"/>
        <family val="1"/>
      </rPr>
      <t>62, 70</t>
    </r>
    <r>
      <rPr>
        <sz val="10"/>
        <rFont val="Arial"/>
        <family val="2"/>
      </rPr>
      <t/>
    </r>
  </si>
  <si>
    <t xml:space="preserve"> </t>
  </si>
  <si>
    <r>
      <t xml:space="preserve">Live on </t>
    </r>
    <r>
      <rPr>
        <i/>
        <sz val="8"/>
        <rFont val="Times New Roman"/>
        <family val="1"/>
      </rPr>
      <t>Setanta - Match Postponed</t>
    </r>
  </si>
  <si>
    <r>
      <t xml:space="preserve">Live on </t>
    </r>
    <r>
      <rPr>
        <i/>
        <sz val="8"/>
        <rFont val="Times New Roman"/>
        <family val="1"/>
      </rPr>
      <t>Setanta - coverage switched to Kidderminster v Burton at the last minute</t>
    </r>
  </si>
  <si>
    <t>Stevenage</t>
  </si>
  <si>
    <t>69. 90</t>
  </si>
  <si>
    <t>Live On Sky</t>
  </si>
  <si>
    <t>Blue Square Play Off Final</t>
  </si>
  <si>
    <r>
      <t xml:space="preserve">15, 21, </t>
    </r>
    <r>
      <rPr>
        <sz val="8"/>
        <color indexed="12"/>
        <rFont val="Times New Roman"/>
        <family val="1"/>
      </rPr>
      <t>Clarke (og) 42,</t>
    </r>
    <r>
      <rPr>
        <sz val="8"/>
        <color indexed="10"/>
        <rFont val="Times New Roman"/>
        <family val="1"/>
      </rPr>
      <t xml:space="preserve"> 90+1</t>
    </r>
  </si>
  <si>
    <t>Live On Premier Sports.  Over 20, some said up to 40 attended The Sheephaven Arms for the YCS showing</t>
  </si>
  <si>
    <t>CAMBRIDGE</t>
  </si>
  <si>
    <t>Wast touted for coverage but not  shown in the end</t>
  </si>
  <si>
    <t>Fleetwood</t>
  </si>
  <si>
    <t xml:space="preserve">Live On Premier Sports. </t>
  </si>
  <si>
    <t>KIDDERMINSTER</t>
  </si>
  <si>
    <t>5, Blair 20, 21, 43, McGurk 68</t>
  </si>
  <si>
    <r>
      <t xml:space="preserve">2, 57, </t>
    </r>
    <r>
      <rPr>
        <sz val="8"/>
        <color indexed="12"/>
        <rFont val="Times New Roman"/>
        <family val="1"/>
      </rPr>
      <t>Reed 65</t>
    </r>
    <r>
      <rPr>
        <sz val="10"/>
        <rFont val="Arial"/>
        <family val="2"/>
      </rPr>
      <t/>
    </r>
  </si>
  <si>
    <t>Luton</t>
  </si>
  <si>
    <r>
      <t xml:space="preserve"> 5, </t>
    </r>
    <r>
      <rPr>
        <sz val="8"/>
        <color indexed="12"/>
        <rFont val="Times New Roman"/>
        <family val="1"/>
      </rPr>
      <t>McLaughlin 81, Meredith 86</t>
    </r>
    <r>
      <rPr>
        <sz val="10"/>
        <rFont val="Arial"/>
        <family val="2"/>
      </rPr>
      <t/>
    </r>
  </si>
  <si>
    <t>BLUE SQ P/O SF</t>
  </si>
  <si>
    <r>
      <t xml:space="preserve"> 26, </t>
    </r>
    <r>
      <rPr>
        <sz val="8"/>
        <color indexed="12"/>
        <rFont val="Times New Roman"/>
        <family val="1"/>
      </rPr>
      <t>Geohagon (og) 42</t>
    </r>
    <r>
      <rPr>
        <sz val="10"/>
        <rFont val="Arial"/>
        <family val="2"/>
      </rPr>
      <t/>
    </r>
  </si>
  <si>
    <t>Mansfield</t>
  </si>
  <si>
    <t>Blair 111</t>
  </si>
  <si>
    <t>2, Chambers 26, Blair 47</t>
  </si>
  <si>
    <t>Live On Premier Sports. NB FATF v Newport not on TV</t>
  </si>
  <si>
    <t>FA Cup R1R</t>
  </si>
  <si>
    <r>
      <t xml:space="preserve">Brown (og) 22, </t>
    </r>
    <r>
      <rPr>
        <sz val="8"/>
        <color indexed="10"/>
        <rFont val="Times New Roman"/>
        <family val="1"/>
      </rPr>
      <t xml:space="preserve">34, 78, </t>
    </r>
    <r>
      <rPr>
        <sz val="8"/>
        <color indexed="12"/>
        <rFont val="Times New Roman"/>
        <family val="1"/>
      </rPr>
      <t xml:space="preserve">Reed 90, </t>
    </r>
    <r>
      <rPr>
        <sz val="8"/>
        <color indexed="10"/>
        <rFont val="Times New Roman"/>
        <family val="1"/>
      </rPr>
      <t>97, 99,</t>
    </r>
    <r>
      <rPr>
        <sz val="8"/>
        <color indexed="12"/>
        <rFont val="Times New Roman"/>
        <family val="1"/>
      </rPr>
      <t xml:space="preserve"> Reed 119 </t>
    </r>
  </si>
  <si>
    <t>Live On ESPN</t>
  </si>
  <si>
    <t>Sky Bet D2 SF PO L1</t>
  </si>
  <si>
    <t>FLEETWOOD</t>
  </si>
  <si>
    <t>Live on Sky (original game on 12/05/14 postponed)</t>
  </si>
  <si>
    <t>Sky Bet D2 SF PO L2</t>
  </si>
  <si>
    <t>Live on Sky</t>
  </si>
  <si>
    <t>National League</t>
  </si>
  <si>
    <t>Maidstone</t>
  </si>
  <si>
    <r>
      <t xml:space="preserve">21, </t>
    </r>
    <r>
      <rPr>
        <sz val="8"/>
        <color indexed="30"/>
        <rFont val="Times New Roman"/>
        <family val="1"/>
      </rPr>
      <t>Kamdjo 68</t>
    </r>
  </si>
  <si>
    <t>Live On BTSports</t>
  </si>
  <si>
    <t>FORST GREEN ROVERS</t>
  </si>
  <si>
    <r>
      <t xml:space="preserve">6, </t>
    </r>
    <r>
      <rPr>
        <sz val="8"/>
        <color indexed="30"/>
        <rFont val="Times New Roman"/>
        <family val="1"/>
      </rPr>
      <t xml:space="preserve">Parkin 33, </t>
    </r>
    <r>
      <rPr>
        <sz val="8"/>
        <color rgb="FFFF0000"/>
        <rFont val="Times New Roman"/>
        <family val="1"/>
      </rPr>
      <t>35,</t>
    </r>
    <r>
      <rPr>
        <sz val="8"/>
        <color indexed="30"/>
        <rFont val="Times New Roman"/>
        <family val="1"/>
      </rPr>
      <t xml:space="preserve"> Parkin 48</t>
    </r>
  </si>
  <si>
    <t>Buildbase FA Trophy Final</t>
  </si>
  <si>
    <r>
      <rPr>
        <sz val="8"/>
        <color indexed="30"/>
        <rFont val="Times New Roman"/>
        <family val="1"/>
      </rPr>
      <t xml:space="preserve">Parkin 8, </t>
    </r>
    <r>
      <rPr>
        <sz val="8"/>
        <color rgb="FFFF0000"/>
        <rFont val="Times New Roman"/>
        <family val="1"/>
      </rPr>
      <t>13,</t>
    </r>
    <r>
      <rPr>
        <sz val="8"/>
        <color indexed="30"/>
        <rFont val="Times New Roman"/>
        <family val="1"/>
      </rPr>
      <t xml:space="preserve"> Oliver 22, </t>
    </r>
    <r>
      <rPr>
        <sz val="8"/>
        <color rgb="FFFF0000"/>
        <rFont val="Times New Roman"/>
        <family val="1"/>
      </rPr>
      <t>45,</t>
    </r>
    <r>
      <rPr>
        <sz val="8"/>
        <color indexed="30"/>
        <rFont val="Times New Roman"/>
        <family val="1"/>
      </rPr>
      <t xml:space="preserve"> Connolly 86</t>
    </r>
  </si>
  <si>
    <t>FAC Q2</t>
  </si>
  <si>
    <r>
      <rPr>
        <sz val="8"/>
        <color indexed="30"/>
        <rFont val="Times New Roman"/>
        <family val="1"/>
      </rPr>
      <t>Kempster 3</t>
    </r>
    <r>
      <rPr>
        <sz val="8"/>
        <color rgb="FFFF0000"/>
        <rFont val="Times New Roman"/>
        <family val="1"/>
      </rPr>
      <t>3,</t>
    </r>
    <r>
      <rPr>
        <sz val="8"/>
        <color indexed="30"/>
        <rFont val="Times New Roman"/>
        <family val="1"/>
      </rPr>
      <t xml:space="preserve"> McFarlane 77</t>
    </r>
    <r>
      <rPr>
        <sz val="11"/>
        <color theme="1"/>
        <rFont val="Calibri"/>
        <family val="2"/>
        <scheme val="minor"/>
      </rPr>
      <t/>
    </r>
  </si>
  <si>
    <t>Live On BBC (iPlayer, web site / app red button)</t>
  </si>
  <si>
    <t>FAC Q4</t>
  </si>
  <si>
    <t>Kempster 27, Newton 29</t>
  </si>
  <si>
    <t>Live On BT Sport 1</t>
  </si>
  <si>
    <t>NLN PO SF</t>
  </si>
  <si>
    <t>8, 76</t>
  </si>
  <si>
    <t>Live on BT / Sportradar (PPV streaming)</t>
  </si>
  <si>
    <t xml:space="preserve">Notts Co </t>
  </si>
  <si>
    <t>Wright 16, Cassidy 24, Wollerton 84</t>
  </si>
  <si>
    <t>Notts Co Youtube (free streaming)</t>
  </si>
  <si>
    <t>Newton 30</t>
  </si>
  <si>
    <t>NL</t>
  </si>
  <si>
    <r>
      <t>57,</t>
    </r>
    <r>
      <rPr>
        <sz val="8"/>
        <color rgb="FF0000FF"/>
        <rFont val="Times New Roman"/>
        <family val="1"/>
      </rPr>
      <t xml:space="preserve"> John-Lewis 65</t>
    </r>
  </si>
  <si>
    <r>
      <t xml:space="preserve">Live on </t>
    </r>
    <r>
      <rPr>
        <i/>
        <sz val="8"/>
        <rFont val="Times New Roman"/>
        <family val="1"/>
      </rPr>
      <t>BT Sport</t>
    </r>
  </si>
  <si>
    <r>
      <rPr>
        <sz val="8"/>
        <color rgb="FF0000FF"/>
        <rFont val="Times New Roman"/>
        <family val="1"/>
      </rPr>
      <t>Kouogun 15,</t>
    </r>
    <r>
      <rPr>
        <sz val="8"/>
        <color rgb="FFFF0000"/>
        <rFont val="Times New Roman"/>
        <family val="1"/>
      </rPr>
      <t xml:space="preserve"> Newby 53, Colclough 74</t>
    </r>
  </si>
  <si>
    <r>
      <t>O'Connor 88</t>
    </r>
    <r>
      <rPr>
        <sz val="8"/>
        <color indexed="12"/>
        <rFont val="Times New Roman"/>
        <family val="1"/>
      </rPr>
      <t>, Duku 90+2</t>
    </r>
  </si>
  <si>
    <r>
      <t xml:space="preserve">John-Lewis 24, </t>
    </r>
    <r>
      <rPr>
        <sz val="8"/>
        <color rgb="FF0000FF"/>
        <rFont val="Times New Roman"/>
        <family val="1"/>
      </rPr>
      <t>Korboa 58,</t>
    </r>
    <r>
      <rPr>
        <sz val="8"/>
        <color indexed="10"/>
        <rFont val="Times New Roman"/>
        <family val="1"/>
      </rPr>
      <t xml:space="preserve"> Fallowfield 90+8</t>
    </r>
  </si>
  <si>
    <r>
      <t xml:space="preserve">Live on </t>
    </r>
    <r>
      <rPr>
        <i/>
        <sz val="8"/>
        <rFont val="Times New Roman"/>
        <family val="1"/>
      </rPr>
      <t>TNT Sports</t>
    </r>
  </si>
  <si>
    <t>FC HALIFAX</t>
  </si>
  <si>
    <r>
      <rPr>
        <sz val="8"/>
        <color rgb="FF0000FF"/>
        <rFont val="Calibri"/>
        <family val="2"/>
        <scheme val="minor"/>
      </rPr>
      <t>Hoti 49,</t>
    </r>
    <r>
      <rPr>
        <sz val="8"/>
        <color indexed="10"/>
        <rFont val="Calibri"/>
        <family val="2"/>
        <scheme val="minor"/>
      </rPr>
      <t xml:space="preserve"> McLaughlin 90+3</t>
    </r>
    <r>
      <rPr>
        <sz val="11"/>
        <color theme="1"/>
        <rFont val="Calibri"/>
        <family val="2"/>
        <scheme val="minor"/>
      </rPr>
      <t/>
    </r>
  </si>
  <si>
    <t>WIGAN</t>
  </si>
  <si>
    <t>Humphrys 61</t>
  </si>
  <si>
    <t>Live on BBC2</t>
  </si>
  <si>
    <t>Boreham Wood</t>
  </si>
  <si>
    <t>Live on National League TV</t>
  </si>
  <si>
    <t>Brighton</t>
  </si>
  <si>
    <r>
      <t xml:space="preserve">First highlights appearance on </t>
    </r>
    <r>
      <rPr>
        <i/>
        <sz val="8"/>
        <rFont val="Times New Roman"/>
        <family val="1"/>
      </rPr>
      <t>Match of the Day (in the days when they devoted one hour to 2 games from the day's football, with no goal highlights). Brian Clough was the newly installed manager at Brighton.</t>
    </r>
  </si>
  <si>
    <t>MANCHESTER U</t>
  </si>
  <si>
    <r>
      <t xml:space="preserve">Should have been first home appearance on </t>
    </r>
    <r>
      <rPr>
        <i/>
        <sz val="8"/>
        <rFont val="Times New Roman"/>
        <family val="1"/>
      </rPr>
      <t>Match of the Day</t>
    </r>
    <r>
      <rPr>
        <sz val="8"/>
        <rFont val="Times New Roman"/>
        <family val="1"/>
      </rPr>
      <t>, but BBC decided our floodlights were not up to standard</t>
    </r>
  </si>
  <si>
    <t xml:space="preserve">Old Div 2 </t>
  </si>
  <si>
    <t xml:space="preserve">Bristol City </t>
  </si>
  <si>
    <t xml:space="preserve">On MOTD, Tom Ritchie hat trick </t>
  </si>
  <si>
    <r>
      <t xml:space="preserve">Should have been first Home appearance on </t>
    </r>
    <r>
      <rPr>
        <i/>
        <sz val="8"/>
        <rFont val="Times New Roman"/>
        <family val="1"/>
      </rPr>
      <t>Match of the Day</t>
    </r>
    <r>
      <rPr>
        <sz val="8"/>
        <rFont val="Times New Roman"/>
        <family val="1"/>
      </rPr>
      <t>, but match postponed due to snow</t>
    </r>
  </si>
  <si>
    <t>Match of the Day, heaviest defeat of record-breaking season and first day when City wore sponsored shirts</t>
  </si>
  <si>
    <r>
      <t xml:space="preserve">First Home appearance on </t>
    </r>
    <r>
      <rPr>
        <i/>
        <sz val="8"/>
        <rFont val="Times New Roman"/>
        <family val="1"/>
      </rPr>
      <t>Match of the Day</t>
    </r>
  </si>
  <si>
    <t>ITV Saturday night MOTD equivalent</t>
  </si>
  <si>
    <t>LC2,2</t>
  </si>
  <si>
    <t>Chelsea</t>
  </si>
  <si>
    <t>ITV mid week League Cup highlights programme</t>
  </si>
  <si>
    <t xml:space="preserve">MOTD highlights </t>
  </si>
  <si>
    <t>One of 8 ties featured in  BBC1/2 Final Score where brief action clips were shown from each game, the programme switched channels at  half time</t>
  </si>
  <si>
    <t>LIST #1: Regional TV (Yorkshire &amp; Tyne Tees mainly)</t>
  </si>
  <si>
    <t>In the 1960s and 1970s, Yorkshire TV had a one hour programme of Saturday's football involving Yorkshire (and Humberside teams).  Tyne Tees TV  and all the other regions had their own regional equivalent.</t>
  </si>
  <si>
    <t>It featured a main match, most clubs (even those at the bottom of Division 4) usually got at least one main match a season, even if Leeds seemed to be the featured team every other week (i.e. every home game).</t>
  </si>
  <si>
    <t xml:space="preserve">Featuring one or 2 games, it  only  very rarely, if ever,  featured goal highlights from the other regions. </t>
  </si>
  <si>
    <t>Consequently, other regions sometimes featured City without  viewers in Yorkshire seeing any of the action.</t>
  </si>
  <si>
    <t>However, as late as the 1990s, viewers in the South West  saw the likes of Plymouth and Bristol Rovers playing City accompanied by the dulcet tones of Arther Mann.</t>
  </si>
  <si>
    <t>Brief highlights from some of our away games were also featured thanks to the other ITV regional companies (e.g. Fulham and Norwich).</t>
  </si>
  <si>
    <t>The advent of the "Goals" shows in the 1980s (either as a standalone programme or Look North feature) which  showed all the goals from the region lead to the demise of the one hour Sunday afternoon highlights show</t>
  </si>
  <si>
    <t xml:space="preserve">FAC4 </t>
  </si>
  <si>
    <t>Middlesbrough FAC</t>
  </si>
  <si>
    <t>Boyer</t>
  </si>
  <si>
    <t xml:space="preserve">TTTV coverage </t>
  </si>
  <si>
    <t xml:space="preserve">YTV coverage </t>
  </si>
  <si>
    <t>old Div 3</t>
  </si>
  <si>
    <t xml:space="preserve">Halifax Town </t>
  </si>
  <si>
    <t>McMahon</t>
  </si>
  <si>
    <t xml:space="preserve">Blackburn Rovers </t>
  </si>
  <si>
    <t>Pollard</t>
  </si>
  <si>
    <t>Bristol R</t>
  </si>
  <si>
    <t>Old div 3</t>
  </si>
  <si>
    <t>Oldham Athletic</t>
  </si>
  <si>
    <t>Jones</t>
  </si>
  <si>
    <t xml:space="preserve">Fulham </t>
  </si>
  <si>
    <t>Jones (2)</t>
  </si>
  <si>
    <t xml:space="preserve">LWT 'The Big Match" </t>
  </si>
  <si>
    <t xml:space="preserve">Sheffield Wednesday </t>
  </si>
  <si>
    <t>First half in colour, 2nd half in B&amp;W due to floodlight quality (even though at Hillsborough!)</t>
  </si>
  <si>
    <t>Norwich</t>
  </si>
  <si>
    <t>First half (and black and white only) highlights due to poor quality of our floodlights</t>
  </si>
  <si>
    <t>Seal, Jones (2)</t>
  </si>
  <si>
    <t xml:space="preserve">Anglia TV Coverage </t>
  </si>
  <si>
    <t>Notts C</t>
  </si>
  <si>
    <t>McMordie</t>
  </si>
  <si>
    <t xml:space="preserve">Hull City </t>
  </si>
  <si>
    <t>Cave</t>
  </si>
  <si>
    <t>Grimsby Town</t>
  </si>
  <si>
    <t>Hinch</t>
  </si>
  <si>
    <t>FAC</t>
  </si>
  <si>
    <t xml:space="preserve">Notts Forest </t>
  </si>
  <si>
    <t xml:space="preserve">A </t>
  </si>
  <si>
    <t>Wellings</t>
  </si>
  <si>
    <t xml:space="preserve">Appeared on ITV 'The Big Match' as no regional programmes that day due to weather </t>
  </si>
  <si>
    <t>LIST #2: Various Highlights Appearances</t>
  </si>
  <si>
    <t>YTV</t>
  </si>
  <si>
    <t>York City 3 (McMahon, Hewitt, Aimson) Southampton 3 (Gabriel, Channon, Davies)</t>
  </si>
  <si>
    <t xml:space="preserve"> *black &amp; white.</t>
  </si>
  <si>
    <t>D3</t>
  </si>
  <si>
    <t>Halifax Town 3 (Lennard 2, Atkins) York City 1 (McMahon)</t>
  </si>
  <si>
    <t>York City 2 (Burrows, Rowles) Chesterfield 0</t>
  </si>
  <si>
    <t>BBC</t>
  </si>
  <si>
    <t>Hereford 0-0 York City</t>
  </si>
  <si>
    <t>Barry Davies 11.15pm, 45m.  Commentater as per Radio Times</t>
  </si>
  <si>
    <r>
      <t>YTV</t>
    </r>
    <r>
      <rPr>
        <b/>
        <sz val="8"/>
        <color rgb="FF0F1111"/>
        <rFont val="Arial"/>
        <family val="2"/>
      </rPr>
      <t/>
    </r>
  </si>
  <si>
    <t>York City 1 (Jones) Oldham Athletic 1 (Whittle)</t>
  </si>
  <si>
    <t>D2</t>
  </si>
  <si>
    <t>Fulham 0 York City  2</t>
  </si>
  <si>
    <t xml:space="preserve"> LWT coverage</t>
  </si>
  <si>
    <t>TTTV</t>
  </si>
  <si>
    <t>York City v Bristol Rovers</t>
  </si>
  <si>
    <t>Sheffield Wednesday 3 (Ferguson, McMordie, Potts) York City 0</t>
  </si>
  <si>
    <t>York City 1 (Seal) Norwich City 0</t>
  </si>
  <si>
    <t xml:space="preserve"> First half only due to  light quality</t>
  </si>
  <si>
    <t>Norwich City 2 York City 3</t>
  </si>
  <si>
    <t xml:space="preserve"> Anglia TV coverage</t>
  </si>
  <si>
    <t>York City 1 (McMordie) Notts County 2 (Scanlon, McVay)</t>
  </si>
  <si>
    <t>Bristol City 1 - 4 York City</t>
  </si>
  <si>
    <t>Barry Davies 10.25pm, 60m</t>
  </si>
  <si>
    <t>York City 1 (Seal) Hull City 2 (Fletcher, Greenwood)</t>
  </si>
  <si>
    <t>Hull City 1 (Daniel(pen)) York City 1 (Cave)</t>
  </si>
  <si>
    <t>Brighton 7 - 2 York City</t>
  </si>
  <si>
    <t>Barry Davies 10.00pm, 60m</t>
  </si>
  <si>
    <t>York City 1 (Hinch) Grimsby Town 1 (Lewis)</t>
  </si>
  <si>
    <t>D4</t>
  </si>
  <si>
    <t>Barnsley 3 York 0</t>
  </si>
  <si>
    <t xml:space="preserve"> TBC</t>
  </si>
  <si>
    <t>Nottingham Forest 3 (Lloyd, McGovern, O'Neill) York City (Wellings) 1</t>
  </si>
  <si>
    <t xml:space="preserve"> ATV coverage</t>
  </si>
  <si>
    <t>Huddersfield 2 York 2</t>
  </si>
  <si>
    <t xml:space="preserve">Blackpool 3 York City 0 </t>
  </si>
  <si>
    <t>Alan Parry 10.35pm, 50m</t>
  </si>
  <si>
    <t>York City 1-0 Arsenal</t>
  </si>
  <si>
    <t>John Motson 10.40pm, 60m</t>
  </si>
  <si>
    <t>York City 1 - 1 Tranmere</t>
  </si>
  <si>
    <t>OTHER TV APPEARANCES</t>
  </si>
  <si>
    <t>Unfortunately we've rarely featured on other TV programmes.</t>
  </si>
  <si>
    <t xml:space="preserve">One notable exception being when 2 former City squad players,  Darren Tilley and Richard Crossley, courtesy of their agent Chris Galvin, another ex City player, starred in a one hour documentary of their season spent playing in China.  Its most memorable moment being when teamamte Craig (son of Sam) Allardyce complained about  the lack of chips </t>
  </si>
  <si>
    <t>In the early 1990s, a BBC TV comedy show featuring Stewart Lee and Richard Herring included a sketch entitled "York City Are Magic"</t>
  </si>
  <si>
    <t>BLATANT PLUG</t>
  </si>
  <si>
    <t>Many  of the matches featured above (plus hundreds more) are to be found at:</t>
  </si>
  <si>
    <t>www.yorkcitysouth.co.uk/tv.htm</t>
  </si>
  <si>
    <t>MORE …</t>
  </si>
  <si>
    <t>Google MOTD listings and "ITV Football 1968-83”</t>
  </si>
  <si>
    <t>Forest Green Rovers</t>
  </si>
  <si>
    <t>Live on National League TV / DAZN</t>
  </si>
  <si>
    <t>DAZN deal done since Woking</t>
  </si>
  <si>
    <t>Bunker 64, McAllister 83</t>
  </si>
  <si>
    <r>
      <t xml:space="preserve">Bush 84, </t>
    </r>
    <r>
      <rPr>
        <sz val="8"/>
        <color rgb="FFFF0000"/>
        <rFont val="Times New Roman"/>
        <family val="1"/>
      </rPr>
      <t>Crookes 90+3</t>
    </r>
  </si>
  <si>
    <r>
      <rPr>
        <sz val="8"/>
        <color indexed="30"/>
        <rFont val="Times New Roman"/>
        <family val="1"/>
      </rPr>
      <t xml:space="preserve">Moss 55, </t>
    </r>
    <r>
      <rPr>
        <sz val="8"/>
        <color indexed="10"/>
        <rFont val="Times New Roman"/>
        <family val="1"/>
      </rPr>
      <t>John-Lewis 82p</t>
    </r>
  </si>
  <si>
    <t>Oldham</t>
  </si>
  <si>
    <t>Live on National League TV (extended coverage)</t>
  </si>
  <si>
    <t>Live on National League TV / DAZN  (extended coverage)</t>
  </si>
  <si>
    <t>Live on National League TV / DAZN  (extended coverage).  Postponed - fog</t>
  </si>
  <si>
    <t>Live on National League TV / DAZN - Postponed (Fog)</t>
  </si>
  <si>
    <r>
      <t xml:space="preserve">Bush 84, </t>
    </r>
    <r>
      <rPr>
        <sz val="8"/>
        <color rgb="FFFF0000"/>
        <rFont val="Calibri"/>
        <family val="2"/>
        <scheme val="minor"/>
      </rPr>
      <t>Crookes 90+3</t>
    </r>
  </si>
  <si>
    <r>
      <t xml:space="preserve">Live on </t>
    </r>
    <r>
      <rPr>
        <i/>
        <sz val="8"/>
        <rFont val="Calibri"/>
        <family val="2"/>
        <scheme val="minor"/>
      </rPr>
      <t>TNT Sports</t>
    </r>
  </si>
  <si>
    <r>
      <rPr>
        <sz val="8"/>
        <color indexed="30"/>
        <rFont val="Calibri"/>
        <family val="2"/>
        <scheme val="minor"/>
      </rPr>
      <t xml:space="preserve">Moss 55, </t>
    </r>
    <r>
      <rPr>
        <sz val="8"/>
        <color indexed="10"/>
        <rFont val="Calibri"/>
        <family val="2"/>
        <scheme val="minor"/>
      </rPr>
      <t>John-Lewis 82p</t>
    </r>
  </si>
  <si>
    <r>
      <rPr>
        <sz val="8"/>
        <color rgb="FFFF0000"/>
        <rFont val="Calibri"/>
        <family val="2"/>
        <scheme val="minor"/>
      </rPr>
      <t>Richardson 48,</t>
    </r>
    <r>
      <rPr>
        <sz val="8"/>
        <color indexed="12"/>
        <rFont val="Calibri"/>
        <family val="2"/>
        <scheme val="minor"/>
      </rPr>
      <t xml:space="preserve"> Cardwell 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</si>
</sst>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yy:mm"/>
    <numFmt numFmtId="166" formatCode="yy:mm:dd"/>
    <numFmt numFmtId="167" formatCode="yyyy:mm:dd"/>
    <numFmt numFmtId="168" formatCode="0.0%"/>
    <numFmt numFmtId="169" formatCode="dd/mm/yyyy;@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indexed="14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color indexed="81"/>
      <name val="Tahoma"/>
      <family val="2"/>
    </font>
    <font>
      <sz val="8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rgb="FF00B050"/>
      <name val="Arial"/>
      <family val="2"/>
    </font>
    <font>
      <sz val="8"/>
      <color indexed="52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8"/>
      <color indexed="10"/>
      <name val="Times New Roman"/>
      <family val="1"/>
    </font>
    <font>
      <sz val="8"/>
      <name val="Times New Roman"/>
      <family val="1"/>
    </font>
    <font>
      <sz val="8"/>
      <color indexed="17"/>
      <name val="Times New Roman"/>
      <family val="1"/>
    </font>
    <font>
      <i/>
      <sz val="8"/>
      <name val="Times New Roman"/>
      <family val="1"/>
    </font>
    <font>
      <sz val="8"/>
      <color indexed="12"/>
      <name val="Times New Roman"/>
      <family val="1"/>
    </font>
    <font>
      <sz val="8"/>
      <color rgb="FFFF0000"/>
      <name val="Times New Roman"/>
      <family val="1"/>
    </font>
    <font>
      <sz val="8"/>
      <color rgb="FF0000FF"/>
      <name val="Times New Roman"/>
      <family val="1"/>
    </font>
    <font>
      <sz val="8"/>
      <color indexed="14"/>
      <name val="Times New Roman"/>
      <family val="1"/>
    </font>
    <font>
      <sz val="8"/>
      <color indexed="30"/>
      <name val="Times New Roman"/>
      <family val="1"/>
    </font>
    <font>
      <u/>
      <sz val="8"/>
      <color indexed="10"/>
      <name val="Times New Roman"/>
      <family val="1"/>
    </font>
    <font>
      <b/>
      <sz val="8"/>
      <color rgb="FF0F111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8"/>
      <name val="Times New Roman"/>
      <family val="1"/>
    </font>
    <font>
      <sz val="8"/>
      <color theme="8"/>
      <name val="Calibri"/>
      <family val="2"/>
      <scheme val="minor"/>
    </font>
    <font>
      <sz val="8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left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14" fontId="4" fillId="0" borderId="0" xfId="0" applyNumberFormat="1" applyFont="1"/>
    <xf numFmtId="167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7" fillId="0" borderId="0" xfId="0" applyFont="1"/>
    <xf numFmtId="167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/>
    <xf numFmtId="15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168" fontId="19" fillId="0" borderId="0" xfId="3" applyNumberFormat="1" applyFont="1"/>
    <xf numFmtId="0" fontId="19" fillId="0" borderId="0" xfId="0" applyFont="1" applyAlignment="1">
      <alignment horizontal="center"/>
    </xf>
    <xf numFmtId="0" fontId="21" fillId="0" borderId="0" xfId="0" applyFont="1"/>
    <xf numFmtId="15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" fontId="16" fillId="0" borderId="0" xfId="0" applyNumberFormat="1" applyFont="1"/>
    <xf numFmtId="1" fontId="15" fillId="0" borderId="0" xfId="0" applyNumberFormat="1" applyFont="1"/>
    <xf numFmtId="0" fontId="24" fillId="0" borderId="0" xfId="0" applyFont="1"/>
    <xf numFmtId="0" fontId="16" fillId="0" borderId="0" xfId="0" applyFont="1" applyAlignment="1">
      <alignment horizontal="center"/>
    </xf>
    <xf numFmtId="15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" fontId="24" fillId="0" borderId="0" xfId="0" applyNumberFormat="1" applyFont="1"/>
    <xf numFmtId="164" fontId="24" fillId="0" borderId="0" xfId="0" applyNumberFormat="1" applyFont="1"/>
    <xf numFmtId="168" fontId="19" fillId="0" borderId="0" xfId="0" applyNumberFormat="1" applyFont="1"/>
    <xf numFmtId="17" fontId="17" fillId="0" borderId="0" xfId="0" applyNumberFormat="1" applyFont="1" applyAlignment="1">
      <alignment horizontal="center"/>
    </xf>
    <xf numFmtId="14" fontId="19" fillId="0" borderId="0" xfId="0" applyNumberFormat="1" applyFont="1"/>
    <xf numFmtId="14" fontId="17" fillId="0" borderId="0" xfId="0" applyNumberFormat="1" applyFont="1"/>
    <xf numFmtId="168" fontId="17" fillId="0" borderId="0" xfId="0" applyNumberFormat="1" applyFont="1"/>
    <xf numFmtId="14" fontId="17" fillId="0" borderId="0" xfId="0" applyNumberFormat="1" applyFont="1" applyAlignment="1">
      <alignment horizontal="right"/>
    </xf>
    <xf numFmtId="168" fontId="25" fillId="0" borderId="0" xfId="3" applyNumberFormat="1" applyFont="1"/>
    <xf numFmtId="0" fontId="17" fillId="0" borderId="0" xfId="0" applyFont="1" applyAlignment="1">
      <alignment horizontal="right"/>
    </xf>
    <xf numFmtId="0" fontId="26" fillId="0" borderId="0" xfId="0" applyFont="1"/>
    <xf numFmtId="1" fontId="4" fillId="0" borderId="0" xfId="0" applyNumberFormat="1" applyFont="1"/>
    <xf numFmtId="14" fontId="26" fillId="0" borderId="0" xfId="0" applyNumberFormat="1" applyFont="1"/>
    <xf numFmtId="0" fontId="3" fillId="0" borderId="0" xfId="0" quotePrefix="1" applyFont="1" applyAlignment="1">
      <alignment horizontal="center"/>
    </xf>
    <xf numFmtId="9" fontId="4" fillId="0" borderId="0" xfId="3" applyFont="1" applyAlignment="1">
      <alignment horizont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4" fillId="0" borderId="0" xfId="3" applyNumberFormat="1" applyFont="1"/>
    <xf numFmtId="2" fontId="9" fillId="0" borderId="0" xfId="3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2" fontId="4" fillId="0" borderId="0" xfId="3" applyNumberFormat="1" applyFont="1" applyAlignment="1">
      <alignment vertical="top"/>
    </xf>
    <xf numFmtId="0" fontId="27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/>
    <xf numFmtId="0" fontId="10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right"/>
    </xf>
    <xf numFmtId="0" fontId="9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5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3" fontId="14" fillId="0" borderId="0" xfId="0" applyNumberFormat="1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14" fontId="26" fillId="0" borderId="0" xfId="0" applyNumberFormat="1" applyFont="1" applyAlignment="1">
      <alignment horizontal="center"/>
    </xf>
    <xf numFmtId="0" fontId="26" fillId="0" borderId="0" xfId="0" quotePrefix="1" applyFont="1" applyAlignment="1">
      <alignment horizontal="center"/>
    </xf>
    <xf numFmtId="3" fontId="26" fillId="0" borderId="0" xfId="0" applyNumberFormat="1" applyFont="1"/>
    <xf numFmtId="0" fontId="26" fillId="0" borderId="0" xfId="0" applyFont="1" applyAlignment="1">
      <alignment horizontal="lef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3" fontId="4" fillId="0" borderId="0" xfId="1" applyNumberFormat="1" applyFont="1"/>
    <xf numFmtId="14" fontId="13" fillId="0" borderId="0" xfId="0" applyNumberFormat="1" applyFont="1" applyAlignment="1">
      <alignment horizontal="center"/>
    </xf>
    <xf numFmtId="3" fontId="13" fillId="0" borderId="0" xfId="0" applyNumberFormat="1" applyFont="1"/>
    <xf numFmtId="168" fontId="26" fillId="0" borderId="0" xfId="3" applyNumberFormat="1" applyFont="1" applyAlignment="1">
      <alignment horizontal="right"/>
    </xf>
    <xf numFmtId="3" fontId="5" fillId="0" borderId="0" xfId="1" applyNumberFormat="1" applyFont="1" applyAlignment="1"/>
    <xf numFmtId="3" fontId="5" fillId="0" borderId="0" xfId="0" applyNumberFormat="1" applyFont="1"/>
    <xf numFmtId="16" fontId="26" fillId="0" borderId="0" xfId="0" quotePrefix="1" applyNumberFormat="1" applyFont="1" applyAlignment="1">
      <alignment horizontal="center"/>
    </xf>
    <xf numFmtId="0" fontId="26" fillId="2" borderId="0" xfId="0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26" fillId="2" borderId="0" xfId="0" applyFont="1" applyFill="1"/>
    <xf numFmtId="0" fontId="26" fillId="2" borderId="0" xfId="0" quotePrefix="1" applyFont="1" applyFill="1" applyAlignment="1">
      <alignment horizontal="center"/>
    </xf>
    <xf numFmtId="3" fontId="26" fillId="2" borderId="0" xfId="0" applyNumberFormat="1" applyFont="1" applyFill="1"/>
    <xf numFmtId="0" fontId="12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0" fillId="0" borderId="0" xfId="0" applyAlignment="1">
      <alignment horizontal="left"/>
    </xf>
    <xf numFmtId="3" fontId="4" fillId="0" borderId="0" xfId="1" applyNumberFormat="1" applyFont="1" applyAlignment="1"/>
    <xf numFmtId="0" fontId="30" fillId="0" borderId="0" xfId="0" applyFont="1" applyAlignment="1">
      <alignment horizontal="center"/>
    </xf>
    <xf numFmtId="0" fontId="31" fillId="0" borderId="0" xfId="0" applyFont="1"/>
    <xf numFmtId="0" fontId="25" fillId="0" borderId="0" xfId="0" applyFont="1"/>
    <xf numFmtId="0" fontId="32" fillId="0" borderId="0" xfId="0" applyFont="1"/>
    <xf numFmtId="0" fontId="26" fillId="0" borderId="0" xfId="0" applyFont="1" applyAlignment="1">
      <alignment horizontal="right"/>
    </xf>
    <xf numFmtId="1" fontId="26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33" fillId="3" borderId="0" xfId="0" applyFont="1" applyFill="1" applyAlignment="1">
      <alignment horizontal="left"/>
    </xf>
    <xf numFmtId="0" fontId="12" fillId="0" borderId="0" xfId="0" quotePrefix="1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2" fillId="0" borderId="0" xfId="0" applyFont="1"/>
    <xf numFmtId="0" fontId="34" fillId="0" borderId="0" xfId="0" applyFont="1"/>
    <xf numFmtId="1" fontId="35" fillId="0" borderId="0" xfId="0" applyNumberFormat="1" applyFont="1"/>
    <xf numFmtId="0" fontId="36" fillId="0" borderId="0" xfId="0" applyFont="1"/>
    <xf numFmtId="0" fontId="9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7" fillId="0" borderId="0" xfId="0" applyFont="1" applyAlignment="1">
      <alignment vertical="top"/>
    </xf>
    <xf numFmtId="0" fontId="3" fillId="4" borderId="0" xfId="0" applyFont="1" applyFill="1" applyAlignment="1">
      <alignment horizontal="center" vertical="top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8" fillId="4" borderId="0" xfId="0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37" fillId="0" borderId="0" xfId="4" applyFont="1"/>
    <xf numFmtId="0" fontId="37" fillId="0" borderId="0" xfId="4" applyFont="1" applyAlignment="1">
      <alignment horizontal="center"/>
    </xf>
    <xf numFmtId="0" fontId="37" fillId="0" borderId="0" xfId="4" applyFont="1" applyAlignment="1">
      <alignment horizontal="right"/>
    </xf>
    <xf numFmtId="0" fontId="37" fillId="0" borderId="0" xfId="4" applyFont="1" applyAlignment="1">
      <alignment horizontal="left"/>
    </xf>
    <xf numFmtId="0" fontId="38" fillId="0" borderId="0" xfId="4" applyFont="1"/>
    <xf numFmtId="14" fontId="37" fillId="4" borderId="0" xfId="4" applyNumberFormat="1" applyFont="1" applyFill="1" applyAlignment="1">
      <alignment horizontal="center"/>
    </xf>
    <xf numFmtId="0" fontId="37" fillId="4" borderId="0" xfId="4" applyFont="1" applyFill="1" applyAlignment="1">
      <alignment horizontal="center"/>
    </xf>
    <xf numFmtId="0" fontId="37" fillId="4" borderId="0" xfId="4" applyFont="1" applyFill="1"/>
    <xf numFmtId="3" fontId="37" fillId="4" borderId="0" xfId="4" applyNumberFormat="1" applyFont="1" applyFill="1" applyAlignment="1">
      <alignment horizontal="right"/>
    </xf>
    <xf numFmtId="0" fontId="37" fillId="4" borderId="0" xfId="4" applyFont="1" applyFill="1" applyAlignment="1">
      <alignment horizontal="left"/>
    </xf>
    <xf numFmtId="14" fontId="39" fillId="0" borderId="0" xfId="4" applyNumberFormat="1" applyFont="1" applyAlignment="1">
      <alignment horizontal="center"/>
    </xf>
    <xf numFmtId="0" fontId="39" fillId="0" borderId="0" xfId="4" applyFont="1" applyAlignment="1">
      <alignment horizontal="left"/>
    </xf>
    <xf numFmtId="0" fontId="39" fillId="0" borderId="0" xfId="4" applyFont="1" applyAlignment="1">
      <alignment horizontal="center"/>
    </xf>
    <xf numFmtId="0" fontId="39" fillId="0" borderId="0" xfId="4" applyFont="1"/>
    <xf numFmtId="3" fontId="39" fillId="0" borderId="0" xfId="4" applyNumberFormat="1" applyFont="1"/>
    <xf numFmtId="14" fontId="37" fillId="0" borderId="0" xfId="4" applyNumberFormat="1" applyFont="1" applyAlignment="1">
      <alignment horizontal="center"/>
    </xf>
    <xf numFmtId="49" fontId="39" fillId="0" borderId="0" xfId="4" applyNumberFormat="1" applyFont="1" applyAlignment="1">
      <alignment horizontal="center"/>
    </xf>
    <xf numFmtId="0" fontId="41" fillId="0" borderId="0" xfId="4" applyFont="1"/>
    <xf numFmtId="14" fontId="44" fillId="0" borderId="0" xfId="4" applyNumberFormat="1" applyFont="1" applyAlignment="1">
      <alignment horizontal="center"/>
    </xf>
    <xf numFmtId="0" fontId="44" fillId="0" borderId="0" xfId="4" applyFont="1"/>
    <xf numFmtId="0" fontId="44" fillId="0" borderId="0" xfId="4" applyFont="1" applyAlignment="1">
      <alignment horizontal="center"/>
    </xf>
    <xf numFmtId="3" fontId="44" fillId="0" borderId="0" xfId="4" applyNumberFormat="1" applyFont="1"/>
    <xf numFmtId="14" fontId="41" fillId="0" borderId="0" xfId="4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1" fillId="0" borderId="0" xfId="4" quotePrefix="1" applyFont="1" applyAlignment="1">
      <alignment horizontal="center"/>
    </xf>
    <xf numFmtId="3" fontId="41" fillId="0" borderId="0" xfId="4" applyNumberFormat="1" applyFont="1"/>
    <xf numFmtId="49" fontId="41" fillId="0" borderId="0" xfId="4" applyNumberFormat="1" applyFont="1" applyAlignment="1">
      <alignment horizontal="center"/>
    </xf>
    <xf numFmtId="0" fontId="41" fillId="0" borderId="0" xfId="4" applyFont="1" applyAlignment="1">
      <alignment horizontal="left"/>
    </xf>
    <xf numFmtId="0" fontId="40" fillId="0" borderId="0" xfId="4" applyFont="1"/>
    <xf numFmtId="0" fontId="42" fillId="0" borderId="0" xfId="4" applyFont="1" applyAlignment="1">
      <alignment horizontal="left"/>
    </xf>
    <xf numFmtId="0" fontId="43" fillId="0" borderId="0" xfId="4" applyFont="1" applyAlignment="1">
      <alignment horizontal="left"/>
    </xf>
    <xf numFmtId="0" fontId="3" fillId="0" borderId="0" xfId="4" applyFont="1"/>
    <xf numFmtId="0" fontId="4" fillId="0" borderId="0" xfId="4" applyFont="1"/>
    <xf numFmtId="0" fontId="26" fillId="0" borderId="0" xfId="4" applyFont="1"/>
    <xf numFmtId="0" fontId="26" fillId="0" borderId="0" xfId="4" applyFont="1" applyAlignment="1">
      <alignment horizontal="center"/>
    </xf>
    <xf numFmtId="3" fontId="26" fillId="0" borderId="0" xfId="4" applyNumberFormat="1" applyFont="1"/>
    <xf numFmtId="0" fontId="26" fillId="0" borderId="0" xfId="4" applyFont="1" applyAlignment="1">
      <alignment horizontal="left"/>
    </xf>
    <xf numFmtId="14" fontId="26" fillId="0" borderId="0" xfId="4" applyNumberFormat="1" applyFont="1" applyAlignment="1">
      <alignment horizontal="center"/>
    </xf>
    <xf numFmtId="5" fontId="38" fillId="0" borderId="0" xfId="5" applyNumberFormat="1" applyFont="1" applyAlignment="1">
      <alignment horizontal="center"/>
    </xf>
    <xf numFmtId="0" fontId="38" fillId="0" borderId="0" xfId="4" applyFont="1" applyAlignment="1">
      <alignment horizontal="center"/>
    </xf>
    <xf numFmtId="0" fontId="46" fillId="0" borderId="0" xfId="4" applyFont="1" applyAlignment="1">
      <alignment horizontal="left"/>
    </xf>
    <xf numFmtId="15" fontId="44" fillId="0" borderId="0" xfId="4" applyNumberFormat="1" applyFont="1" applyAlignment="1">
      <alignment horizontal="center"/>
    </xf>
    <xf numFmtId="5" fontId="44" fillId="0" borderId="0" xfId="5" applyNumberFormat="1" applyFont="1" applyAlignment="1">
      <alignment horizontal="center"/>
    </xf>
    <xf numFmtId="0" fontId="44" fillId="0" borderId="0" xfId="4" applyFont="1" applyAlignment="1">
      <alignment horizontal="left"/>
    </xf>
    <xf numFmtId="15" fontId="38" fillId="0" borderId="0" xfId="4" applyNumberFormat="1" applyFont="1" applyAlignment="1">
      <alignment horizontal="center"/>
    </xf>
    <xf numFmtId="0" fontId="38" fillId="0" borderId="0" xfId="4" applyFont="1" applyAlignment="1">
      <alignment horizontal="left"/>
    </xf>
    <xf numFmtId="3" fontId="38" fillId="0" borderId="0" xfId="4" applyNumberFormat="1" applyFont="1"/>
    <xf numFmtId="15" fontId="39" fillId="0" borderId="0" xfId="4" applyNumberFormat="1" applyFont="1" applyAlignment="1">
      <alignment horizontal="center"/>
    </xf>
    <xf numFmtId="0" fontId="46" fillId="0" borderId="0" xfId="4" applyFont="1"/>
    <xf numFmtId="14" fontId="38" fillId="0" borderId="0" xfId="4" applyNumberFormat="1" applyFont="1"/>
    <xf numFmtId="169" fontId="38" fillId="0" borderId="0" xfId="4" applyNumberFormat="1" applyFont="1"/>
    <xf numFmtId="0" fontId="49" fillId="0" borderId="0" xfId="6" applyFont="1" applyAlignment="1" applyProtection="1"/>
    <xf numFmtId="0" fontId="53" fillId="0" borderId="0" xfId="4" applyFont="1" applyFill="1" applyBorder="1" applyAlignment="1">
      <alignment horizontal="left"/>
    </xf>
    <xf numFmtId="0" fontId="54" fillId="0" borderId="0" xfId="4" applyFont="1" applyFill="1" applyBorder="1" applyAlignment="1">
      <alignment horizontal="left"/>
    </xf>
  </cellXfs>
  <cellStyles count="7">
    <cellStyle name="Comma" xfId="1" builtinId="3"/>
    <cellStyle name="Currency" xfId="2" builtinId="4"/>
    <cellStyle name="Currency 2" xfId="5"/>
    <cellStyle name="Hyperlink 2" xfId="6"/>
    <cellStyle name="Normal" xfId="0" builtinId="0"/>
    <cellStyle name="Normal 2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herine Naylor" id="{AD5AD6F6-1D44-475C-BDF8-1BD78A046FDE}" userId="16592f152efec00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7" dT="2023-03-05T15:49:27.52" personId="{AD5AD6F6-1D44-475C-BDF8-1BD78A046FDE}" id="{BE4A1305-E24F-4F7B-9D50-D0AC47F935DF}">
    <text>Appointed from 05/12/22 but not active until 26/12/22 due to being hospitalised by Covid-19.</text>
  </threadedComment>
  <threadedComment ref="C48" dT="2023-03-05T15:49:27.52" personId="{AD5AD6F6-1D44-475C-BDF8-1BD78A046FDE}" id="{8E0553B5-0180-42BC-831B-E1CE9DB0DF6D}">
    <text>Appointed initially as 'Interim Manager'.  Record excludes two matches in December 2022 when he took charge due to David Webb's illness absence.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47" dT="2022-02-18T18:23:43.82" personId="{AD5AD6F6-1D44-475C-BDF8-1BD78A046FDE}" id="{055653AD-D31E-4053-93CD-9E483D0AB269}">
    <text>No spectators due to Covid-19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yorkcitysouth.co.uk/tv.htm" TargetMode="Externa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51"/>
  <sheetViews>
    <sheetView zoomScale="140" zoomScaleNormal="140" workbookViewId="0">
      <pane xSplit="1" ySplit="1" topLeftCell="B223" activePane="bottomRight" state="frozen"/>
      <selection pane="topRight" activeCell="B1" sqref="B1"/>
      <selection pane="bottomLeft" activeCell="A2" sqref="A2"/>
      <selection pane="bottomRight" activeCell="B230" sqref="B230"/>
    </sheetView>
  </sheetViews>
  <sheetFormatPr defaultColWidth="9.140625" defaultRowHeight="11.25" x14ac:dyDescent="0.2"/>
  <cols>
    <col min="1" max="1" width="9.140625" style="5"/>
    <col min="2" max="2" width="13.140625" style="2" customWidth="1"/>
    <col min="3" max="3" width="17.140625" style="2" bestFit="1" customWidth="1"/>
    <col min="4" max="4" width="10.28515625" style="2" bestFit="1" customWidth="1"/>
    <col min="5" max="5" width="16.7109375" style="2" bestFit="1" customWidth="1"/>
    <col min="6" max="6" width="18.28515625" style="8" bestFit="1" customWidth="1"/>
    <col min="7" max="8" width="9.140625" style="2"/>
    <col min="9" max="10" width="3.42578125" style="2" customWidth="1"/>
    <col min="11" max="16384" width="9.140625" style="2"/>
  </cols>
  <sheetData>
    <row r="1" spans="1:10" x14ac:dyDescent="0.2">
      <c r="A1" s="5" t="s">
        <v>250</v>
      </c>
      <c r="B1" s="6" t="s">
        <v>18</v>
      </c>
      <c r="C1" s="6" t="s">
        <v>376</v>
      </c>
      <c r="D1" s="6" t="s">
        <v>398</v>
      </c>
      <c r="E1" s="6" t="s">
        <v>456</v>
      </c>
      <c r="F1" s="1" t="s">
        <v>473</v>
      </c>
    </row>
    <row r="2" spans="1:10" x14ac:dyDescent="0.2">
      <c r="A2" s="5">
        <v>16072</v>
      </c>
      <c r="B2" s="2" t="s">
        <v>602</v>
      </c>
      <c r="C2" s="2" t="s">
        <v>603</v>
      </c>
      <c r="D2" s="7">
        <f t="shared" ref="D2:D11" ca="1" si="0">TODAY()-A2</f>
        <v>29671</v>
      </c>
      <c r="I2" s="2">
        <f t="shared" ref="I2:I13" si="1">DAY(A2)</f>
        <v>1</v>
      </c>
      <c r="J2" s="2">
        <f t="shared" ref="J2:J13" si="2">MONTH(A2)</f>
        <v>1</v>
      </c>
    </row>
    <row r="3" spans="1:10" x14ac:dyDescent="0.2">
      <c r="A3" s="5">
        <v>35067</v>
      </c>
      <c r="B3" s="2" t="s">
        <v>1450</v>
      </c>
      <c r="C3" s="2" t="s">
        <v>387</v>
      </c>
      <c r="D3" s="7">
        <f t="shared" ca="1" si="0"/>
        <v>10676</v>
      </c>
      <c r="I3" s="2">
        <f t="shared" si="1"/>
        <v>3</v>
      </c>
      <c r="J3" s="2">
        <f t="shared" si="2"/>
        <v>1</v>
      </c>
    </row>
    <row r="4" spans="1:10" x14ac:dyDescent="0.2">
      <c r="A4" s="5">
        <v>9869</v>
      </c>
      <c r="B4" s="2" t="s">
        <v>618</v>
      </c>
      <c r="C4" s="2" t="s">
        <v>619</v>
      </c>
      <c r="D4" s="9">
        <f t="shared" ca="1" si="0"/>
        <v>35874</v>
      </c>
      <c r="E4" s="10" t="s">
        <v>620</v>
      </c>
      <c r="F4" s="11">
        <f>"30/06/1996"-A4</f>
        <v>25377</v>
      </c>
      <c r="I4" s="2">
        <f t="shared" si="1"/>
        <v>7</v>
      </c>
      <c r="J4" s="2">
        <f t="shared" si="2"/>
        <v>1</v>
      </c>
    </row>
    <row r="5" spans="1:10" x14ac:dyDescent="0.2">
      <c r="A5" s="5">
        <v>31784</v>
      </c>
      <c r="B5" s="2" t="s">
        <v>864</v>
      </c>
      <c r="C5" s="2" t="s">
        <v>389</v>
      </c>
      <c r="D5" s="7">
        <f t="shared" ca="1" si="0"/>
        <v>13959</v>
      </c>
      <c r="I5" s="2">
        <f t="shared" si="1"/>
        <v>7</v>
      </c>
      <c r="J5" s="2">
        <f t="shared" si="2"/>
        <v>1</v>
      </c>
    </row>
    <row r="6" spans="1:10" x14ac:dyDescent="0.2">
      <c r="A6" s="5">
        <v>17175</v>
      </c>
      <c r="B6" s="2" t="s">
        <v>574</v>
      </c>
      <c r="C6" s="2" t="s">
        <v>575</v>
      </c>
      <c r="D6" s="7">
        <f t="shared" ca="1" si="0"/>
        <v>28568</v>
      </c>
      <c r="I6" s="2">
        <f t="shared" si="1"/>
        <v>8</v>
      </c>
      <c r="J6" s="2">
        <f t="shared" si="2"/>
        <v>1</v>
      </c>
    </row>
    <row r="7" spans="1:10" x14ac:dyDescent="0.2">
      <c r="A7" s="5">
        <v>8776</v>
      </c>
      <c r="B7" s="2" t="s">
        <v>549</v>
      </c>
      <c r="C7" s="2" t="s">
        <v>550</v>
      </c>
      <c r="D7" s="9">
        <f t="shared" ca="1" si="0"/>
        <v>36967</v>
      </c>
      <c r="E7" s="10" t="s">
        <v>551</v>
      </c>
      <c r="F7" s="11">
        <f>"15/11/1971"-A7</f>
        <v>17476</v>
      </c>
      <c r="H7" s="12"/>
      <c r="I7" s="2">
        <f t="shared" si="1"/>
        <v>10</v>
      </c>
      <c r="J7" s="2">
        <f t="shared" si="2"/>
        <v>1</v>
      </c>
    </row>
    <row r="8" spans="1:10" x14ac:dyDescent="0.2">
      <c r="A8" s="5">
        <v>17908</v>
      </c>
      <c r="B8" s="2" t="s">
        <v>650</v>
      </c>
      <c r="C8" s="2" t="s">
        <v>506</v>
      </c>
      <c r="D8" s="7">
        <f t="shared" ca="1" si="0"/>
        <v>27835</v>
      </c>
      <c r="I8" s="2">
        <f t="shared" si="1"/>
        <v>10</v>
      </c>
      <c r="J8" s="2">
        <f t="shared" si="2"/>
        <v>1</v>
      </c>
    </row>
    <row r="9" spans="1:10" x14ac:dyDescent="0.2">
      <c r="A9" s="5">
        <v>30327</v>
      </c>
      <c r="B9" s="2" t="s">
        <v>750</v>
      </c>
      <c r="C9" s="2" t="s">
        <v>378</v>
      </c>
      <c r="D9" s="7">
        <f t="shared" ca="1" si="0"/>
        <v>15416</v>
      </c>
      <c r="F9" s="11"/>
      <c r="I9" s="2">
        <f t="shared" si="1"/>
        <v>11</v>
      </c>
      <c r="J9" s="2">
        <f t="shared" si="2"/>
        <v>1</v>
      </c>
    </row>
    <row r="10" spans="1:10" x14ac:dyDescent="0.2">
      <c r="A10" s="5">
        <v>32884</v>
      </c>
      <c r="B10" s="2" t="s">
        <v>1015</v>
      </c>
      <c r="C10" s="2" t="s">
        <v>1059</v>
      </c>
      <c r="D10" s="7">
        <f t="shared" ca="1" si="0"/>
        <v>12859</v>
      </c>
      <c r="I10" s="2">
        <f t="shared" si="1"/>
        <v>11</v>
      </c>
      <c r="J10" s="2">
        <f t="shared" si="2"/>
        <v>1</v>
      </c>
    </row>
    <row r="11" spans="1:10" x14ac:dyDescent="0.2">
      <c r="A11" s="5">
        <v>11335</v>
      </c>
      <c r="B11" s="2" t="s">
        <v>651</v>
      </c>
      <c r="C11" s="2" t="s">
        <v>525</v>
      </c>
      <c r="D11" s="9">
        <f t="shared" ca="1" si="0"/>
        <v>34408</v>
      </c>
      <c r="E11" s="10" t="s">
        <v>599</v>
      </c>
      <c r="F11" s="11">
        <f>"30/06/2004"-A11</f>
        <v>26833</v>
      </c>
      <c r="I11" s="2">
        <f t="shared" si="1"/>
        <v>12</v>
      </c>
      <c r="J11" s="2">
        <f t="shared" si="2"/>
        <v>1</v>
      </c>
    </row>
    <row r="12" spans="1:10" x14ac:dyDescent="0.2">
      <c r="A12" s="5">
        <v>2205</v>
      </c>
      <c r="B12" s="2" t="s">
        <v>678</v>
      </c>
      <c r="C12" s="2" t="s">
        <v>679</v>
      </c>
      <c r="D12" s="13" t="str">
        <f ca="1">"1"&amp;TEXT((TODAY()-"13/01/2006"),"yy:mm:dd")</f>
        <v>119:03:14</v>
      </c>
      <c r="E12" s="10" t="s">
        <v>660</v>
      </c>
      <c r="F12" s="11">
        <f>"15/07/1977"-A12</f>
        <v>26116</v>
      </c>
      <c r="G12" s="2" t="s">
        <v>148</v>
      </c>
      <c r="I12" s="2">
        <f t="shared" si="1"/>
        <v>13</v>
      </c>
      <c r="J12" s="2">
        <f t="shared" si="2"/>
        <v>1</v>
      </c>
    </row>
    <row r="13" spans="1:10" x14ac:dyDescent="0.2">
      <c r="A13" s="5">
        <v>33252</v>
      </c>
      <c r="B13" s="2" t="s">
        <v>1459</v>
      </c>
      <c r="C13" s="2" t="s">
        <v>1060</v>
      </c>
      <c r="D13" s="7">
        <f ca="1">TODAY()-A13</f>
        <v>12491</v>
      </c>
      <c r="I13" s="2">
        <f t="shared" si="1"/>
        <v>14</v>
      </c>
      <c r="J13" s="2">
        <f t="shared" si="2"/>
        <v>1</v>
      </c>
    </row>
    <row r="14" spans="1:10" x14ac:dyDescent="0.2">
      <c r="A14" s="5" t="s">
        <v>582</v>
      </c>
      <c r="B14" s="2" t="s">
        <v>581</v>
      </c>
      <c r="C14" s="2" t="s">
        <v>463</v>
      </c>
      <c r="D14" s="13" t="str">
        <f ca="1">"1"&amp;TEXT((TODAY()-"17/01/1996"),"yy:mm:dd")</f>
        <v>129:03:10</v>
      </c>
      <c r="E14" s="10" t="s">
        <v>583</v>
      </c>
      <c r="F14" s="14" t="s">
        <v>584</v>
      </c>
      <c r="I14" s="2">
        <v>17</v>
      </c>
      <c r="J14" s="2">
        <v>1</v>
      </c>
    </row>
    <row r="15" spans="1:10" x14ac:dyDescent="0.2">
      <c r="A15" s="5">
        <v>31795</v>
      </c>
      <c r="B15" s="2" t="s">
        <v>762</v>
      </c>
      <c r="C15" s="2" t="s">
        <v>1061</v>
      </c>
      <c r="D15" s="7">
        <f ca="1">TODAY()-A15</f>
        <v>13948</v>
      </c>
      <c r="I15" s="2">
        <f t="shared" ref="I15:I24" si="3">DAY(A15)</f>
        <v>18</v>
      </c>
      <c r="J15" s="2">
        <f t="shared" ref="J15:J24" si="4">MONTH(A15)</f>
        <v>1</v>
      </c>
    </row>
    <row r="16" spans="1:10" x14ac:dyDescent="0.2">
      <c r="A16" s="5">
        <v>24857</v>
      </c>
      <c r="B16" s="2" t="s">
        <v>534</v>
      </c>
      <c r="C16" s="2" t="s">
        <v>420</v>
      </c>
      <c r="D16" s="7">
        <f ca="1">TODAY()-A16</f>
        <v>20886</v>
      </c>
      <c r="I16" s="2">
        <f t="shared" si="3"/>
        <v>20</v>
      </c>
      <c r="J16" s="2">
        <f t="shared" si="4"/>
        <v>1</v>
      </c>
    </row>
    <row r="17" spans="1:10" x14ac:dyDescent="0.2">
      <c r="A17" s="5">
        <v>5136</v>
      </c>
      <c r="B17" s="2" t="s">
        <v>675</v>
      </c>
      <c r="C17" s="2" t="s">
        <v>676</v>
      </c>
      <c r="D17" s="13" t="str">
        <f ca="1">"1"&amp;TEXT((TODAY()-A17),"yy:mm:dd")</f>
        <v>111:03:05</v>
      </c>
      <c r="E17" s="10" t="s">
        <v>677</v>
      </c>
      <c r="F17" s="11">
        <f>"15/07/1981"-A17</f>
        <v>24646</v>
      </c>
      <c r="G17" s="2" t="s">
        <v>148</v>
      </c>
      <c r="I17" s="2">
        <f t="shared" si="3"/>
        <v>22</v>
      </c>
      <c r="J17" s="2">
        <f t="shared" si="4"/>
        <v>1</v>
      </c>
    </row>
    <row r="18" spans="1:10" x14ac:dyDescent="0.2">
      <c r="A18" s="5">
        <v>27416</v>
      </c>
      <c r="B18" s="2" t="s">
        <v>766</v>
      </c>
      <c r="C18" s="2" t="s">
        <v>615</v>
      </c>
      <c r="D18" s="7">
        <f t="shared" ref="D18:D24" ca="1" si="5">TODAY()-A18</f>
        <v>18327</v>
      </c>
      <c r="I18" s="2">
        <f t="shared" si="3"/>
        <v>22</v>
      </c>
      <c r="J18" s="2">
        <f t="shared" si="4"/>
        <v>1</v>
      </c>
    </row>
    <row r="19" spans="1:10" x14ac:dyDescent="0.2">
      <c r="A19" s="5">
        <v>17923</v>
      </c>
      <c r="B19" s="2" t="s">
        <v>457</v>
      </c>
      <c r="C19" s="2" t="s">
        <v>420</v>
      </c>
      <c r="D19" s="7">
        <f t="shared" ca="1" si="5"/>
        <v>27820</v>
      </c>
      <c r="I19" s="2">
        <f t="shared" si="3"/>
        <v>25</v>
      </c>
      <c r="J19" s="2">
        <f t="shared" si="4"/>
        <v>1</v>
      </c>
    </row>
    <row r="20" spans="1:10" x14ac:dyDescent="0.2">
      <c r="A20" s="5">
        <v>26690</v>
      </c>
      <c r="B20" s="2" t="s">
        <v>513</v>
      </c>
      <c r="C20" s="2" t="s">
        <v>499</v>
      </c>
      <c r="D20" s="7">
        <f t="shared" ca="1" si="5"/>
        <v>19053</v>
      </c>
      <c r="E20" s="15"/>
      <c r="F20" s="12"/>
      <c r="I20" s="2">
        <f t="shared" si="3"/>
        <v>26</v>
      </c>
      <c r="J20" s="2">
        <f t="shared" si="4"/>
        <v>1</v>
      </c>
    </row>
    <row r="21" spans="1:10" x14ac:dyDescent="0.2">
      <c r="A21" s="5">
        <v>17195</v>
      </c>
      <c r="B21" s="2" t="s">
        <v>469</v>
      </c>
      <c r="C21" s="2" t="s">
        <v>372</v>
      </c>
      <c r="D21" s="9">
        <f t="shared" ca="1" si="5"/>
        <v>28548</v>
      </c>
      <c r="E21" s="10" t="s">
        <v>472</v>
      </c>
      <c r="F21" s="11">
        <f>"15/11/1985"-A21</f>
        <v>14171</v>
      </c>
      <c r="I21" s="2">
        <f t="shared" si="3"/>
        <v>28</v>
      </c>
      <c r="J21" s="2">
        <f t="shared" si="4"/>
        <v>1</v>
      </c>
    </row>
    <row r="22" spans="1:10" x14ac:dyDescent="0.2">
      <c r="A22" s="5">
        <v>29249</v>
      </c>
      <c r="B22" s="2" t="s">
        <v>841</v>
      </c>
      <c r="C22" s="2" t="s">
        <v>842</v>
      </c>
      <c r="D22" s="7">
        <f t="shared" ca="1" si="5"/>
        <v>16494</v>
      </c>
      <c r="I22" s="2">
        <f t="shared" si="3"/>
        <v>29</v>
      </c>
      <c r="J22" s="2">
        <f t="shared" si="4"/>
        <v>1</v>
      </c>
    </row>
    <row r="23" spans="1:10" x14ac:dyDescent="0.2">
      <c r="A23" s="5">
        <v>17198</v>
      </c>
      <c r="B23" s="2" t="s">
        <v>516</v>
      </c>
      <c r="C23" s="2" t="s">
        <v>517</v>
      </c>
      <c r="D23" s="7">
        <f t="shared" ca="1" si="5"/>
        <v>28545</v>
      </c>
      <c r="I23" s="2">
        <f t="shared" si="3"/>
        <v>31</v>
      </c>
      <c r="J23" s="2">
        <f t="shared" si="4"/>
        <v>1</v>
      </c>
    </row>
    <row r="24" spans="1:10" x14ac:dyDescent="0.2">
      <c r="A24" s="5">
        <v>22313</v>
      </c>
      <c r="B24" s="2" t="s">
        <v>393</v>
      </c>
      <c r="C24" s="2" t="s">
        <v>394</v>
      </c>
      <c r="D24" s="7">
        <f t="shared" ca="1" si="5"/>
        <v>23430</v>
      </c>
      <c r="I24" s="2">
        <f t="shared" si="3"/>
        <v>1</v>
      </c>
      <c r="J24" s="2">
        <f t="shared" si="4"/>
        <v>2</v>
      </c>
    </row>
    <row r="25" spans="1:10" x14ac:dyDescent="0.2">
      <c r="A25" s="5" t="s">
        <v>654</v>
      </c>
      <c r="B25" s="2" t="s">
        <v>652</v>
      </c>
      <c r="C25" s="2" t="s">
        <v>653</v>
      </c>
      <c r="D25" s="13" t="str">
        <f ca="1">"1"&amp;TEXT((TODAY()-"01/02/1997"),"yy:mm:dd")</f>
        <v>128:02:23</v>
      </c>
      <c r="E25" s="10" t="s">
        <v>655</v>
      </c>
      <c r="F25" s="14" t="s">
        <v>656</v>
      </c>
      <c r="G25" s="2" t="s">
        <v>148</v>
      </c>
      <c r="I25" s="2">
        <v>1</v>
      </c>
      <c r="J25" s="2">
        <v>2</v>
      </c>
    </row>
    <row r="26" spans="1:10" x14ac:dyDescent="0.2">
      <c r="A26" s="5">
        <v>25965</v>
      </c>
      <c r="B26" s="2" t="s">
        <v>530</v>
      </c>
      <c r="C26" s="2" t="s">
        <v>531</v>
      </c>
      <c r="D26" s="7">
        <f t="shared" ref="D26:D42" ca="1" si="6">TODAY()-A26</f>
        <v>19778</v>
      </c>
      <c r="I26" s="2">
        <f t="shared" ref="I26:I57" si="7">DAY(A26)</f>
        <v>1</v>
      </c>
      <c r="J26" s="2">
        <f t="shared" ref="J26:J57" si="8">MONTH(A26)</f>
        <v>2</v>
      </c>
    </row>
    <row r="27" spans="1:10" x14ac:dyDescent="0.2">
      <c r="A27" s="5">
        <v>13913</v>
      </c>
      <c r="B27" s="2" t="s">
        <v>554</v>
      </c>
      <c r="C27" s="2" t="s">
        <v>555</v>
      </c>
      <c r="D27" s="7">
        <f t="shared" ca="1" si="6"/>
        <v>31830</v>
      </c>
      <c r="E27" s="16" t="s">
        <v>1180</v>
      </c>
      <c r="F27" s="11">
        <f>"7/11/2021"-A27</f>
        <v>30594</v>
      </c>
      <c r="I27" s="2">
        <f t="shared" si="7"/>
        <v>2</v>
      </c>
      <c r="J27" s="2">
        <f t="shared" si="8"/>
        <v>2</v>
      </c>
    </row>
    <row r="28" spans="1:10" x14ac:dyDescent="0.2">
      <c r="A28" s="5">
        <v>35464</v>
      </c>
      <c r="B28" s="2" t="s">
        <v>1166</v>
      </c>
      <c r="C28" s="2" t="s">
        <v>425</v>
      </c>
      <c r="D28" s="7">
        <f t="shared" ca="1" si="6"/>
        <v>10279</v>
      </c>
      <c r="I28" s="2">
        <f t="shared" si="7"/>
        <v>3</v>
      </c>
      <c r="J28" s="2">
        <f t="shared" si="8"/>
        <v>2</v>
      </c>
    </row>
    <row r="29" spans="1:10" x14ac:dyDescent="0.2">
      <c r="A29" s="5">
        <v>32908</v>
      </c>
      <c r="B29" s="2" t="s">
        <v>1144</v>
      </c>
      <c r="C29" s="2" t="s">
        <v>400</v>
      </c>
      <c r="D29" s="7">
        <f t="shared" ca="1" si="6"/>
        <v>12835</v>
      </c>
      <c r="I29" s="2">
        <f t="shared" si="7"/>
        <v>4</v>
      </c>
      <c r="J29" s="2">
        <f t="shared" si="8"/>
        <v>2</v>
      </c>
    </row>
    <row r="30" spans="1:10" x14ac:dyDescent="0.2">
      <c r="A30" s="5">
        <v>20125</v>
      </c>
      <c r="B30" s="2" t="s">
        <v>692</v>
      </c>
      <c r="C30" s="2" t="s">
        <v>693</v>
      </c>
      <c r="D30" s="7">
        <f t="shared" ca="1" si="6"/>
        <v>25618</v>
      </c>
      <c r="G30" s="2" t="s">
        <v>148</v>
      </c>
      <c r="I30" s="2">
        <f t="shared" si="7"/>
        <v>5</v>
      </c>
      <c r="J30" s="2">
        <f t="shared" si="8"/>
        <v>2</v>
      </c>
    </row>
    <row r="31" spans="1:10" x14ac:dyDescent="0.2">
      <c r="A31" s="5">
        <v>30719</v>
      </c>
      <c r="B31" s="2" t="s">
        <v>518</v>
      </c>
      <c r="C31" s="2" t="s">
        <v>519</v>
      </c>
      <c r="D31" s="7">
        <f t="shared" ca="1" si="6"/>
        <v>15024</v>
      </c>
      <c r="I31" s="2">
        <f t="shared" si="7"/>
        <v>7</v>
      </c>
      <c r="J31" s="2">
        <f t="shared" si="8"/>
        <v>2</v>
      </c>
    </row>
    <row r="32" spans="1:10" x14ac:dyDescent="0.2">
      <c r="A32" s="5">
        <v>32180</v>
      </c>
      <c r="B32" s="2" t="s">
        <v>767</v>
      </c>
      <c r="C32" s="2" t="s">
        <v>1062</v>
      </c>
      <c r="D32" s="7">
        <f t="shared" ca="1" si="6"/>
        <v>13563</v>
      </c>
      <c r="I32" s="2">
        <f t="shared" si="7"/>
        <v>7</v>
      </c>
      <c r="J32" s="2">
        <f t="shared" si="8"/>
        <v>2</v>
      </c>
    </row>
    <row r="33" spans="1:10" x14ac:dyDescent="0.2">
      <c r="A33" s="5">
        <v>12458</v>
      </c>
      <c r="B33" s="2" t="s">
        <v>520</v>
      </c>
      <c r="C33" s="2" t="s">
        <v>521</v>
      </c>
      <c r="D33" s="7">
        <f t="shared" ca="1" si="6"/>
        <v>33285</v>
      </c>
      <c r="E33" s="16" t="s">
        <v>1179</v>
      </c>
      <c r="F33" s="11">
        <f>"11/07/2021"-A33</f>
        <v>31930</v>
      </c>
      <c r="I33" s="2">
        <f t="shared" si="7"/>
        <v>8</v>
      </c>
      <c r="J33" s="2">
        <f t="shared" si="8"/>
        <v>2</v>
      </c>
    </row>
    <row r="34" spans="1:10" x14ac:dyDescent="0.2">
      <c r="A34" s="5">
        <v>22320</v>
      </c>
      <c r="B34" s="2" t="s">
        <v>386</v>
      </c>
      <c r="C34" s="2" t="s">
        <v>387</v>
      </c>
      <c r="D34" s="7">
        <f t="shared" ca="1" si="6"/>
        <v>23423</v>
      </c>
      <c r="I34" s="2">
        <f t="shared" si="7"/>
        <v>8</v>
      </c>
      <c r="J34" s="2">
        <f t="shared" si="8"/>
        <v>2</v>
      </c>
    </row>
    <row r="35" spans="1:10" x14ac:dyDescent="0.2">
      <c r="A35" s="5">
        <v>32182</v>
      </c>
      <c r="B35" s="2" t="s">
        <v>1129</v>
      </c>
      <c r="C35" s="2" t="s">
        <v>1146</v>
      </c>
      <c r="D35" s="7">
        <f t="shared" ca="1" si="6"/>
        <v>13561</v>
      </c>
      <c r="I35" s="2">
        <f t="shared" si="7"/>
        <v>9</v>
      </c>
      <c r="J35" s="2">
        <f t="shared" si="8"/>
        <v>2</v>
      </c>
    </row>
    <row r="36" spans="1:10" x14ac:dyDescent="0.2">
      <c r="A36" s="5">
        <v>29630</v>
      </c>
      <c r="B36" s="2" t="s">
        <v>1004</v>
      </c>
      <c r="C36" s="2" t="s">
        <v>1005</v>
      </c>
      <c r="D36" s="7">
        <f t="shared" ca="1" si="6"/>
        <v>16113</v>
      </c>
      <c r="I36" s="2">
        <f t="shared" si="7"/>
        <v>13</v>
      </c>
      <c r="J36" s="2">
        <f t="shared" si="8"/>
        <v>2</v>
      </c>
    </row>
    <row r="37" spans="1:10" x14ac:dyDescent="0.2">
      <c r="A37" s="5">
        <v>13561</v>
      </c>
      <c r="B37" s="2" t="s">
        <v>649</v>
      </c>
      <c r="C37" s="2" t="s">
        <v>633</v>
      </c>
      <c r="D37" s="7">
        <f t="shared" ca="1" si="6"/>
        <v>32182</v>
      </c>
      <c r="E37" s="16" t="s">
        <v>1177</v>
      </c>
      <c r="F37" s="11">
        <f>"28/09/2021"-A37</f>
        <v>30906</v>
      </c>
      <c r="I37" s="2">
        <f t="shared" si="7"/>
        <v>15</v>
      </c>
      <c r="J37" s="2">
        <f t="shared" si="8"/>
        <v>2</v>
      </c>
    </row>
    <row r="38" spans="1:10" x14ac:dyDescent="0.2">
      <c r="A38" s="5">
        <v>11370</v>
      </c>
      <c r="B38" s="2" t="s">
        <v>647</v>
      </c>
      <c r="C38" s="2" t="s">
        <v>648</v>
      </c>
      <c r="D38" s="7">
        <f t="shared" ca="1" si="6"/>
        <v>34373</v>
      </c>
      <c r="I38" s="2">
        <f t="shared" si="7"/>
        <v>16</v>
      </c>
      <c r="J38" s="2">
        <f t="shared" si="8"/>
        <v>2</v>
      </c>
    </row>
    <row r="39" spans="1:10" x14ac:dyDescent="0.2">
      <c r="A39" s="5">
        <v>20502</v>
      </c>
      <c r="B39" s="2" t="s">
        <v>390</v>
      </c>
      <c r="C39" s="2" t="s">
        <v>391</v>
      </c>
      <c r="D39" s="9">
        <f t="shared" ca="1" si="6"/>
        <v>25241</v>
      </c>
      <c r="E39" s="6" t="s">
        <v>392</v>
      </c>
      <c r="F39" s="11">
        <f>"15/04/2003"-A39</f>
        <v>17224</v>
      </c>
      <c r="I39" s="2">
        <f t="shared" si="7"/>
        <v>17</v>
      </c>
      <c r="J39" s="2">
        <f t="shared" si="8"/>
        <v>2</v>
      </c>
    </row>
    <row r="40" spans="1:10" x14ac:dyDescent="0.2">
      <c r="A40" s="5">
        <v>31826</v>
      </c>
      <c r="B40" s="2" t="s">
        <v>807</v>
      </c>
      <c r="C40" s="2" t="s">
        <v>378</v>
      </c>
      <c r="D40" s="7">
        <f t="shared" ca="1" si="6"/>
        <v>13917</v>
      </c>
      <c r="I40" s="2">
        <f t="shared" si="7"/>
        <v>18</v>
      </c>
      <c r="J40" s="2">
        <f t="shared" si="8"/>
        <v>2</v>
      </c>
    </row>
    <row r="41" spans="1:10" x14ac:dyDescent="0.2">
      <c r="A41" s="5">
        <v>30733</v>
      </c>
      <c r="B41" s="2" t="s">
        <v>1020</v>
      </c>
      <c r="C41" s="2" t="s">
        <v>573</v>
      </c>
      <c r="D41" s="7">
        <f t="shared" ca="1" si="6"/>
        <v>15010</v>
      </c>
      <c r="I41" s="2">
        <f t="shared" si="7"/>
        <v>21</v>
      </c>
      <c r="J41" s="2">
        <f t="shared" si="8"/>
        <v>2</v>
      </c>
    </row>
    <row r="42" spans="1:10" x14ac:dyDescent="0.2">
      <c r="A42" s="5">
        <v>31101</v>
      </c>
      <c r="B42" s="2" t="s">
        <v>799</v>
      </c>
      <c r="C42" s="2" t="s">
        <v>498</v>
      </c>
      <c r="D42" s="7">
        <f t="shared" ca="1" si="6"/>
        <v>14642</v>
      </c>
      <c r="I42" s="2">
        <f t="shared" si="7"/>
        <v>23</v>
      </c>
      <c r="J42" s="2">
        <f t="shared" si="8"/>
        <v>2</v>
      </c>
    </row>
    <row r="43" spans="1:10" x14ac:dyDescent="0.2">
      <c r="A43" s="5">
        <v>5168</v>
      </c>
      <c r="B43" s="2" t="s">
        <v>539</v>
      </c>
      <c r="C43" s="2" t="s">
        <v>540</v>
      </c>
      <c r="D43" s="13" t="str">
        <f ca="1">"1"&amp;TEXT((TODAY()-A43),"yy:mm:dd")</f>
        <v>111:02:01</v>
      </c>
      <c r="E43" s="10" t="s">
        <v>541</v>
      </c>
      <c r="F43" s="11">
        <f>"30/06/1998"-A43</f>
        <v>30808</v>
      </c>
      <c r="I43" s="2">
        <f t="shared" si="7"/>
        <v>23</v>
      </c>
      <c r="J43" s="2">
        <f t="shared" si="8"/>
        <v>2</v>
      </c>
    </row>
    <row r="44" spans="1:10" x14ac:dyDescent="0.2">
      <c r="A44" s="5">
        <v>11743</v>
      </c>
      <c r="B44" s="2" t="s">
        <v>585</v>
      </c>
      <c r="C44" s="2" t="s">
        <v>586</v>
      </c>
      <c r="D44" s="9">
        <f t="shared" ref="D44:D75" ca="1" si="9">TODAY()-A44</f>
        <v>34000</v>
      </c>
      <c r="E44" s="10" t="s">
        <v>526</v>
      </c>
      <c r="F44" s="11">
        <f>"30/06/2001"-A44</f>
        <v>25329</v>
      </c>
      <c r="I44" s="2">
        <f t="shared" si="7"/>
        <v>24</v>
      </c>
      <c r="J44" s="2">
        <f t="shared" si="8"/>
        <v>2</v>
      </c>
    </row>
    <row r="45" spans="1:10" x14ac:dyDescent="0.2">
      <c r="A45" s="5">
        <v>31105</v>
      </c>
      <c r="B45" s="2" t="s">
        <v>801</v>
      </c>
      <c r="C45" s="2" t="s">
        <v>400</v>
      </c>
      <c r="D45" s="7">
        <f t="shared" ca="1" si="9"/>
        <v>14638</v>
      </c>
      <c r="I45" s="2">
        <f t="shared" si="7"/>
        <v>27</v>
      </c>
      <c r="J45" s="2">
        <f t="shared" si="8"/>
        <v>2</v>
      </c>
    </row>
    <row r="46" spans="1:10" x14ac:dyDescent="0.2">
      <c r="A46" s="5">
        <v>31470</v>
      </c>
      <c r="B46" s="2" t="s">
        <v>1126</v>
      </c>
      <c r="C46" s="2" t="s">
        <v>416</v>
      </c>
      <c r="D46" s="7">
        <f t="shared" ca="1" si="9"/>
        <v>14273</v>
      </c>
      <c r="I46" s="2">
        <f t="shared" si="7"/>
        <v>27</v>
      </c>
      <c r="J46" s="2">
        <f t="shared" si="8"/>
        <v>2</v>
      </c>
    </row>
    <row r="47" spans="1:10" x14ac:dyDescent="0.2">
      <c r="A47" s="5">
        <v>35853</v>
      </c>
      <c r="B47" s="2" t="s">
        <v>1141</v>
      </c>
      <c r="D47" s="7">
        <f t="shared" ca="1" si="9"/>
        <v>9890</v>
      </c>
      <c r="I47" s="2">
        <f t="shared" si="7"/>
        <v>27</v>
      </c>
      <c r="J47" s="2">
        <f t="shared" si="8"/>
        <v>2</v>
      </c>
    </row>
    <row r="48" spans="1:10" x14ac:dyDescent="0.2">
      <c r="A48" s="5">
        <v>33297</v>
      </c>
      <c r="B48" s="2" t="s">
        <v>1036</v>
      </c>
      <c r="C48" s="2" t="s">
        <v>1037</v>
      </c>
      <c r="D48" s="7">
        <f t="shared" ca="1" si="9"/>
        <v>12446</v>
      </c>
      <c r="I48" s="2">
        <f t="shared" si="7"/>
        <v>28</v>
      </c>
      <c r="J48" s="2">
        <f t="shared" si="8"/>
        <v>2</v>
      </c>
    </row>
    <row r="49" spans="1:10" x14ac:dyDescent="0.2">
      <c r="A49" s="5">
        <v>30740</v>
      </c>
      <c r="B49" s="2" t="s">
        <v>753</v>
      </c>
      <c r="C49" s="2" t="s">
        <v>752</v>
      </c>
      <c r="D49" s="7">
        <f t="shared" ca="1" si="9"/>
        <v>15003</v>
      </c>
      <c r="I49" s="2">
        <f t="shared" si="7"/>
        <v>28</v>
      </c>
      <c r="J49" s="2">
        <f t="shared" si="8"/>
        <v>2</v>
      </c>
    </row>
    <row r="50" spans="1:10" x14ac:dyDescent="0.2">
      <c r="A50" s="5">
        <v>11017</v>
      </c>
      <c r="B50" s="2" t="s">
        <v>429</v>
      </c>
      <c r="C50" s="2" t="s">
        <v>378</v>
      </c>
      <c r="D50" s="9">
        <f t="shared" ca="1" si="9"/>
        <v>34726</v>
      </c>
      <c r="E50" s="6" t="s">
        <v>1021</v>
      </c>
      <c r="F50" s="11">
        <f>"18/04/2012"-A50</f>
        <v>30000</v>
      </c>
      <c r="I50" s="2">
        <f t="shared" si="7"/>
        <v>28</v>
      </c>
      <c r="J50" s="2">
        <f t="shared" si="8"/>
        <v>2</v>
      </c>
    </row>
    <row r="51" spans="1:10" x14ac:dyDescent="0.2">
      <c r="A51" s="5">
        <v>24166</v>
      </c>
      <c r="B51" s="2" t="s">
        <v>820</v>
      </c>
      <c r="C51" s="2" t="s">
        <v>752</v>
      </c>
      <c r="D51" s="7">
        <f t="shared" ca="1" si="9"/>
        <v>21577</v>
      </c>
      <c r="I51" s="2">
        <f t="shared" si="7"/>
        <v>28</v>
      </c>
      <c r="J51" s="2">
        <f t="shared" si="8"/>
        <v>2</v>
      </c>
    </row>
    <row r="52" spans="1:10" x14ac:dyDescent="0.2">
      <c r="A52" s="5">
        <v>34029</v>
      </c>
      <c r="B52" s="2" t="s">
        <v>1007</v>
      </c>
      <c r="C52" s="2" t="s">
        <v>1063</v>
      </c>
      <c r="D52" s="7">
        <f t="shared" ca="1" si="9"/>
        <v>11714</v>
      </c>
      <c r="I52" s="2">
        <f t="shared" si="7"/>
        <v>1</v>
      </c>
      <c r="J52" s="2">
        <f t="shared" si="8"/>
        <v>3</v>
      </c>
    </row>
    <row r="53" spans="1:10" x14ac:dyDescent="0.2">
      <c r="A53" s="5">
        <v>32933</v>
      </c>
      <c r="B53" s="2" t="s">
        <v>1017</v>
      </c>
      <c r="C53" s="2" t="s">
        <v>424</v>
      </c>
      <c r="D53" s="7">
        <f t="shared" ca="1" si="9"/>
        <v>12810</v>
      </c>
      <c r="I53" s="2">
        <f t="shared" si="7"/>
        <v>1</v>
      </c>
      <c r="J53" s="2">
        <f t="shared" si="8"/>
        <v>3</v>
      </c>
    </row>
    <row r="54" spans="1:10" x14ac:dyDescent="0.2">
      <c r="A54" s="5">
        <v>31108</v>
      </c>
      <c r="B54" s="2" t="s">
        <v>1018</v>
      </c>
      <c r="C54" s="2" t="s">
        <v>286</v>
      </c>
      <c r="D54" s="7">
        <f t="shared" ca="1" si="9"/>
        <v>14635</v>
      </c>
      <c r="I54" s="2">
        <f t="shared" si="7"/>
        <v>2</v>
      </c>
      <c r="J54" s="2">
        <f t="shared" si="8"/>
        <v>3</v>
      </c>
    </row>
    <row r="55" spans="1:10" x14ac:dyDescent="0.2">
      <c r="A55" s="5">
        <v>10655</v>
      </c>
      <c r="B55" s="2" t="s">
        <v>553</v>
      </c>
      <c r="C55" s="2" t="s">
        <v>506</v>
      </c>
      <c r="D55" s="7">
        <f t="shared" ca="1" si="9"/>
        <v>35088</v>
      </c>
      <c r="E55" s="10" t="s">
        <v>552</v>
      </c>
      <c r="F55" s="11">
        <f>"30/06/2003"-A55</f>
        <v>27147</v>
      </c>
      <c r="I55" s="2">
        <f t="shared" si="7"/>
        <v>3</v>
      </c>
      <c r="J55" s="2">
        <f t="shared" si="8"/>
        <v>3</v>
      </c>
    </row>
    <row r="56" spans="1:10" x14ac:dyDescent="0.2">
      <c r="A56" s="5">
        <v>31109</v>
      </c>
      <c r="B56" s="2" t="s">
        <v>839</v>
      </c>
      <c r="C56" s="2" t="s">
        <v>471</v>
      </c>
      <c r="D56" s="7">
        <f t="shared" ca="1" si="9"/>
        <v>14634</v>
      </c>
      <c r="I56" s="2">
        <f t="shared" si="7"/>
        <v>3</v>
      </c>
      <c r="J56" s="2">
        <f t="shared" si="8"/>
        <v>3</v>
      </c>
    </row>
    <row r="57" spans="1:10" x14ac:dyDescent="0.2">
      <c r="A57" s="5">
        <v>18693</v>
      </c>
      <c r="B57" s="2" t="s">
        <v>638</v>
      </c>
      <c r="C57" s="2" t="s">
        <v>639</v>
      </c>
      <c r="D57" s="7">
        <f t="shared" ca="1" si="9"/>
        <v>27050</v>
      </c>
      <c r="I57" s="2">
        <f t="shared" si="7"/>
        <v>6</v>
      </c>
      <c r="J57" s="2">
        <f t="shared" si="8"/>
        <v>3</v>
      </c>
    </row>
    <row r="58" spans="1:10" x14ac:dyDescent="0.2">
      <c r="A58" s="5">
        <v>35495</v>
      </c>
      <c r="B58" s="2" t="s">
        <v>1447</v>
      </c>
      <c r="C58" s="2" t="s">
        <v>1467</v>
      </c>
      <c r="D58" s="7">
        <f t="shared" ca="1" si="9"/>
        <v>10248</v>
      </c>
      <c r="I58" s="2">
        <f t="shared" ref="I58:I89" si="10">DAY(A58)</f>
        <v>6</v>
      </c>
      <c r="J58" s="2">
        <f t="shared" ref="J58:J89" si="11">MONTH(A58)</f>
        <v>3</v>
      </c>
    </row>
    <row r="59" spans="1:10" x14ac:dyDescent="0.2">
      <c r="A59" s="5">
        <v>31481</v>
      </c>
      <c r="B59" s="2" t="s">
        <v>825</v>
      </c>
      <c r="C59" s="2" t="s">
        <v>528</v>
      </c>
      <c r="D59" s="7">
        <f t="shared" ca="1" si="9"/>
        <v>14262</v>
      </c>
      <c r="I59" s="2">
        <f t="shared" si="10"/>
        <v>10</v>
      </c>
      <c r="J59" s="2">
        <f t="shared" si="11"/>
        <v>3</v>
      </c>
    </row>
    <row r="60" spans="1:10" x14ac:dyDescent="0.2">
      <c r="A60" s="5">
        <v>30755</v>
      </c>
      <c r="B60" s="2" t="s">
        <v>834</v>
      </c>
      <c r="C60" s="2" t="s">
        <v>413</v>
      </c>
      <c r="D60" s="7">
        <f t="shared" ca="1" si="9"/>
        <v>14988</v>
      </c>
      <c r="I60" s="2">
        <f t="shared" si="10"/>
        <v>14</v>
      </c>
      <c r="J60" s="2">
        <f t="shared" si="11"/>
        <v>3</v>
      </c>
    </row>
    <row r="61" spans="1:10" x14ac:dyDescent="0.2">
      <c r="A61" s="5">
        <v>16510</v>
      </c>
      <c r="B61" s="2" t="s">
        <v>569</v>
      </c>
      <c r="C61" s="2" t="s">
        <v>570</v>
      </c>
      <c r="D61" s="7">
        <f t="shared" ca="1" si="9"/>
        <v>29233</v>
      </c>
      <c r="G61" s="2" t="s">
        <v>148</v>
      </c>
      <c r="I61" s="2">
        <f t="shared" si="10"/>
        <v>14</v>
      </c>
      <c r="J61" s="2">
        <f t="shared" si="11"/>
        <v>3</v>
      </c>
    </row>
    <row r="62" spans="1:10" x14ac:dyDescent="0.2">
      <c r="A62" s="5">
        <v>35503</v>
      </c>
      <c r="B62" s="2" t="s">
        <v>1452</v>
      </c>
      <c r="C62" s="2" t="s">
        <v>1468</v>
      </c>
      <c r="D62" s="7">
        <f t="shared" ca="1" si="9"/>
        <v>10240</v>
      </c>
      <c r="I62" s="2">
        <f t="shared" si="10"/>
        <v>14</v>
      </c>
      <c r="J62" s="2">
        <f t="shared" si="11"/>
        <v>3</v>
      </c>
    </row>
    <row r="63" spans="1:10" x14ac:dyDescent="0.2">
      <c r="A63" s="5">
        <v>34043</v>
      </c>
      <c r="B63" s="2" t="s">
        <v>1454</v>
      </c>
      <c r="C63" s="2" t="s">
        <v>612</v>
      </c>
      <c r="D63" s="7">
        <f t="shared" ca="1" si="9"/>
        <v>11700</v>
      </c>
      <c r="I63" s="2">
        <f t="shared" si="10"/>
        <v>15</v>
      </c>
      <c r="J63" s="2">
        <f t="shared" si="11"/>
        <v>3</v>
      </c>
    </row>
    <row r="64" spans="1:10" x14ac:dyDescent="0.2">
      <c r="A64" s="5">
        <v>32584</v>
      </c>
      <c r="B64" s="2" t="s">
        <v>1006</v>
      </c>
      <c r="C64" s="2" t="s">
        <v>1065</v>
      </c>
      <c r="D64" s="7">
        <f t="shared" ca="1" si="9"/>
        <v>13159</v>
      </c>
      <c r="I64" s="2">
        <f t="shared" si="10"/>
        <v>17</v>
      </c>
      <c r="J64" s="2">
        <f t="shared" si="11"/>
        <v>3</v>
      </c>
    </row>
    <row r="65" spans="1:10" x14ac:dyDescent="0.2">
      <c r="A65" s="5">
        <v>34045</v>
      </c>
      <c r="B65" s="2" t="s">
        <v>1451</v>
      </c>
      <c r="C65" s="2" t="s">
        <v>1469</v>
      </c>
      <c r="D65" s="7">
        <f t="shared" ca="1" si="9"/>
        <v>11698</v>
      </c>
      <c r="I65" s="2">
        <f t="shared" si="10"/>
        <v>17</v>
      </c>
      <c r="J65" s="2">
        <f t="shared" si="11"/>
        <v>3</v>
      </c>
    </row>
    <row r="66" spans="1:10" x14ac:dyDescent="0.2">
      <c r="A66" s="5">
        <v>29664</v>
      </c>
      <c r="B66" s="2" t="s">
        <v>806</v>
      </c>
      <c r="C66" s="2" t="s">
        <v>794</v>
      </c>
      <c r="D66" s="7">
        <f t="shared" ca="1" si="9"/>
        <v>16079</v>
      </c>
      <c r="I66" s="2">
        <f t="shared" si="10"/>
        <v>19</v>
      </c>
      <c r="J66" s="2">
        <f t="shared" si="11"/>
        <v>3</v>
      </c>
    </row>
    <row r="67" spans="1:10" x14ac:dyDescent="0.2">
      <c r="A67" s="5">
        <v>31125</v>
      </c>
      <c r="B67" s="2" t="s">
        <v>788</v>
      </c>
      <c r="C67" s="2" t="s">
        <v>615</v>
      </c>
      <c r="D67" s="7">
        <f t="shared" ca="1" si="9"/>
        <v>14618</v>
      </c>
      <c r="I67" s="2">
        <f t="shared" si="10"/>
        <v>19</v>
      </c>
      <c r="J67" s="2">
        <f t="shared" si="11"/>
        <v>3</v>
      </c>
    </row>
    <row r="68" spans="1:10" x14ac:dyDescent="0.2">
      <c r="A68" s="5">
        <v>10673</v>
      </c>
      <c r="B68" s="2" t="s">
        <v>460</v>
      </c>
      <c r="C68" s="2" t="s">
        <v>464</v>
      </c>
      <c r="D68" s="7">
        <f t="shared" ca="1" si="9"/>
        <v>35070</v>
      </c>
      <c r="I68" s="2">
        <f t="shared" si="10"/>
        <v>21</v>
      </c>
      <c r="J68" s="2">
        <f t="shared" si="11"/>
        <v>3</v>
      </c>
    </row>
    <row r="69" spans="1:10" x14ac:dyDescent="0.2">
      <c r="A69" s="5">
        <v>30397</v>
      </c>
      <c r="B69" s="2" t="s">
        <v>838</v>
      </c>
      <c r="C69" s="2" t="s">
        <v>378</v>
      </c>
      <c r="D69" s="7">
        <f t="shared" ca="1" si="9"/>
        <v>15346</v>
      </c>
      <c r="I69" s="2">
        <f t="shared" si="10"/>
        <v>22</v>
      </c>
      <c r="J69" s="2">
        <f t="shared" si="11"/>
        <v>3</v>
      </c>
    </row>
    <row r="70" spans="1:10" x14ac:dyDescent="0.2">
      <c r="A70" s="5">
        <v>31131</v>
      </c>
      <c r="B70" s="2" t="s">
        <v>865</v>
      </c>
      <c r="C70" s="2" t="s">
        <v>400</v>
      </c>
      <c r="D70" s="7">
        <f t="shared" ca="1" si="9"/>
        <v>14612</v>
      </c>
      <c r="I70" s="2">
        <f t="shared" si="10"/>
        <v>25</v>
      </c>
      <c r="J70" s="2">
        <f t="shared" si="11"/>
        <v>3</v>
      </c>
    </row>
    <row r="71" spans="1:10" x14ac:dyDescent="0.2">
      <c r="A71" s="5">
        <v>26021</v>
      </c>
      <c r="B71" s="2" t="s">
        <v>412</v>
      </c>
      <c r="C71" s="2" t="s">
        <v>425</v>
      </c>
      <c r="D71" s="7">
        <f t="shared" ca="1" si="9"/>
        <v>19722</v>
      </c>
      <c r="I71" s="2">
        <f t="shared" si="10"/>
        <v>29</v>
      </c>
      <c r="J71" s="2">
        <f t="shared" si="11"/>
        <v>3</v>
      </c>
    </row>
    <row r="72" spans="1:10" x14ac:dyDescent="0.2">
      <c r="A72" s="5">
        <v>13240</v>
      </c>
      <c r="B72" s="2" t="s">
        <v>544</v>
      </c>
      <c r="C72" s="2" t="s">
        <v>545</v>
      </c>
      <c r="D72" s="7">
        <f t="shared" ca="1" si="9"/>
        <v>32503</v>
      </c>
      <c r="I72" s="2">
        <f t="shared" si="10"/>
        <v>31</v>
      </c>
      <c r="J72" s="2">
        <f t="shared" si="11"/>
        <v>3</v>
      </c>
    </row>
    <row r="73" spans="1:10" x14ac:dyDescent="0.2">
      <c r="A73" s="5">
        <v>31867</v>
      </c>
      <c r="B73" s="2" t="s">
        <v>860</v>
      </c>
      <c r="C73" s="2" t="s">
        <v>471</v>
      </c>
      <c r="D73" s="7">
        <f t="shared" ca="1" si="9"/>
        <v>13876</v>
      </c>
      <c r="I73" s="2">
        <f t="shared" si="10"/>
        <v>31</v>
      </c>
      <c r="J73" s="2">
        <f t="shared" si="11"/>
        <v>3</v>
      </c>
    </row>
    <row r="74" spans="1:10" x14ac:dyDescent="0.2">
      <c r="A74" s="5">
        <v>30773</v>
      </c>
      <c r="B74" s="2" t="s">
        <v>782</v>
      </c>
      <c r="C74" s="2" t="s">
        <v>378</v>
      </c>
      <c r="D74" s="7">
        <f t="shared" ca="1" si="9"/>
        <v>14970</v>
      </c>
      <c r="I74" s="2">
        <f t="shared" si="10"/>
        <v>1</v>
      </c>
      <c r="J74" s="2">
        <f t="shared" si="11"/>
        <v>4</v>
      </c>
    </row>
    <row r="75" spans="1:10" x14ac:dyDescent="0.2">
      <c r="A75" s="5">
        <v>30043</v>
      </c>
      <c r="B75" s="2" t="s">
        <v>827</v>
      </c>
      <c r="C75" s="2" t="s">
        <v>400</v>
      </c>
      <c r="D75" s="7">
        <f t="shared" ca="1" si="9"/>
        <v>15700</v>
      </c>
      <c r="I75" s="2">
        <f t="shared" si="10"/>
        <v>2</v>
      </c>
      <c r="J75" s="2">
        <f t="shared" si="11"/>
        <v>4</v>
      </c>
    </row>
    <row r="76" spans="1:10" x14ac:dyDescent="0.2">
      <c r="A76" s="5">
        <v>31506</v>
      </c>
      <c r="B76" s="2" t="s">
        <v>775</v>
      </c>
      <c r="C76" s="2" t="s">
        <v>1066</v>
      </c>
      <c r="D76" s="7">
        <f t="shared" ref="D76:D107" ca="1" si="12">TODAY()-A76</f>
        <v>14237</v>
      </c>
      <c r="I76" s="2">
        <f t="shared" si="10"/>
        <v>4</v>
      </c>
      <c r="J76" s="2">
        <f t="shared" si="11"/>
        <v>4</v>
      </c>
    </row>
    <row r="77" spans="1:10" x14ac:dyDescent="0.2">
      <c r="A77" s="5">
        <v>32237</v>
      </c>
      <c r="B77" s="2" t="s">
        <v>1008</v>
      </c>
      <c r="C77" s="2" t="s">
        <v>1067</v>
      </c>
      <c r="D77" s="7">
        <f t="shared" ca="1" si="12"/>
        <v>13506</v>
      </c>
      <c r="I77" s="2">
        <f t="shared" si="10"/>
        <v>4</v>
      </c>
      <c r="J77" s="2">
        <f t="shared" si="11"/>
        <v>4</v>
      </c>
    </row>
    <row r="78" spans="1:10" x14ac:dyDescent="0.2">
      <c r="A78" s="5">
        <v>18725</v>
      </c>
      <c r="B78" s="2" t="s">
        <v>690</v>
      </c>
      <c r="C78" s="2" t="s">
        <v>691</v>
      </c>
      <c r="D78" s="7">
        <f t="shared" ca="1" si="12"/>
        <v>27018</v>
      </c>
      <c r="G78" s="2" t="s">
        <v>148</v>
      </c>
      <c r="I78" s="2">
        <f t="shared" si="10"/>
        <v>7</v>
      </c>
      <c r="J78" s="2">
        <f t="shared" si="11"/>
        <v>4</v>
      </c>
    </row>
    <row r="79" spans="1:10" x14ac:dyDescent="0.2">
      <c r="A79" s="5">
        <v>16900</v>
      </c>
      <c r="B79" s="2" t="s">
        <v>465</v>
      </c>
      <c r="C79" s="2" t="s">
        <v>467</v>
      </c>
      <c r="D79" s="7">
        <f t="shared" ca="1" si="12"/>
        <v>28843</v>
      </c>
      <c r="I79" s="2">
        <f t="shared" si="10"/>
        <v>8</v>
      </c>
      <c r="J79" s="2">
        <f t="shared" si="11"/>
        <v>4</v>
      </c>
    </row>
    <row r="80" spans="1:10" x14ac:dyDescent="0.2">
      <c r="A80" s="5">
        <v>26032</v>
      </c>
      <c r="B80" s="2" t="s">
        <v>813</v>
      </c>
      <c r="C80" s="2" t="s">
        <v>812</v>
      </c>
      <c r="D80" s="7">
        <f t="shared" ca="1" si="12"/>
        <v>19711</v>
      </c>
      <c r="I80" s="2">
        <f t="shared" si="10"/>
        <v>9</v>
      </c>
      <c r="J80" s="2">
        <f t="shared" si="11"/>
        <v>4</v>
      </c>
    </row>
    <row r="81" spans="1:10" x14ac:dyDescent="0.2">
      <c r="A81" s="5">
        <v>26032</v>
      </c>
      <c r="B81" s="2" t="s">
        <v>856</v>
      </c>
      <c r="C81" s="2" t="s">
        <v>471</v>
      </c>
      <c r="D81" s="7">
        <f t="shared" ca="1" si="12"/>
        <v>19711</v>
      </c>
      <c r="I81" s="2">
        <f t="shared" si="10"/>
        <v>9</v>
      </c>
      <c r="J81" s="2">
        <f t="shared" si="11"/>
        <v>4</v>
      </c>
    </row>
    <row r="82" spans="1:10" x14ac:dyDescent="0.2">
      <c r="A82" s="5">
        <v>22747</v>
      </c>
      <c r="B82" s="2" t="s">
        <v>631</v>
      </c>
      <c r="C82" s="2" t="s">
        <v>387</v>
      </c>
      <c r="D82" s="7">
        <f t="shared" ca="1" si="12"/>
        <v>22996</v>
      </c>
      <c r="I82" s="2">
        <f t="shared" si="10"/>
        <v>11</v>
      </c>
      <c r="J82" s="2">
        <f t="shared" si="11"/>
        <v>4</v>
      </c>
    </row>
    <row r="83" spans="1:10" x14ac:dyDescent="0.2">
      <c r="A83" s="5">
        <v>14347</v>
      </c>
      <c r="B83" s="2" t="s">
        <v>643</v>
      </c>
      <c r="C83" s="2" t="s">
        <v>506</v>
      </c>
      <c r="D83" s="7">
        <f t="shared" ca="1" si="12"/>
        <v>31396</v>
      </c>
      <c r="F83" s="11"/>
      <c r="I83" s="2">
        <f t="shared" si="10"/>
        <v>12</v>
      </c>
      <c r="J83" s="2">
        <f t="shared" si="11"/>
        <v>4</v>
      </c>
    </row>
    <row r="84" spans="1:10" x14ac:dyDescent="0.2">
      <c r="A84" s="5">
        <v>27497</v>
      </c>
      <c r="B84" s="2" t="s">
        <v>763</v>
      </c>
      <c r="C84" s="2" t="s">
        <v>764</v>
      </c>
      <c r="D84" s="7">
        <f t="shared" ca="1" si="12"/>
        <v>18246</v>
      </c>
      <c r="I84" s="2">
        <f t="shared" si="10"/>
        <v>13</v>
      </c>
      <c r="J84" s="2">
        <f t="shared" si="11"/>
        <v>4</v>
      </c>
    </row>
    <row r="85" spans="1:10" x14ac:dyDescent="0.2">
      <c r="A85" s="5">
        <v>26403</v>
      </c>
      <c r="B85" s="2" t="s">
        <v>511</v>
      </c>
      <c r="C85" s="2" t="s">
        <v>500</v>
      </c>
      <c r="D85" s="7">
        <f t="shared" ca="1" si="12"/>
        <v>19340</v>
      </c>
      <c r="E85" s="15"/>
      <c r="F85" s="12"/>
      <c r="I85" s="2">
        <f t="shared" si="10"/>
        <v>14</v>
      </c>
      <c r="J85" s="2">
        <f t="shared" si="11"/>
        <v>4</v>
      </c>
    </row>
    <row r="86" spans="1:10" x14ac:dyDescent="0.2">
      <c r="A86" s="5">
        <v>26404</v>
      </c>
      <c r="B86" s="2" t="s">
        <v>822</v>
      </c>
      <c r="C86" s="2" t="s">
        <v>821</v>
      </c>
      <c r="D86" s="7">
        <f t="shared" ca="1" si="12"/>
        <v>19339</v>
      </c>
      <c r="I86" s="2">
        <f t="shared" si="10"/>
        <v>15</v>
      </c>
      <c r="J86" s="2">
        <f t="shared" si="11"/>
        <v>4</v>
      </c>
    </row>
    <row r="87" spans="1:10" x14ac:dyDescent="0.2">
      <c r="A87" s="5">
        <v>11065</v>
      </c>
      <c r="B87" s="2" t="s">
        <v>426</v>
      </c>
      <c r="C87" s="2" t="s">
        <v>378</v>
      </c>
      <c r="D87" s="7">
        <f t="shared" ca="1" si="12"/>
        <v>34678</v>
      </c>
      <c r="I87" s="2">
        <f t="shared" si="10"/>
        <v>17</v>
      </c>
      <c r="J87" s="2">
        <f t="shared" si="11"/>
        <v>4</v>
      </c>
    </row>
    <row r="88" spans="1:10" x14ac:dyDescent="0.2">
      <c r="A88" s="5">
        <v>31155</v>
      </c>
      <c r="B88" s="2" t="s">
        <v>1142</v>
      </c>
      <c r="C88" s="2" t="s">
        <v>378</v>
      </c>
      <c r="D88" s="7">
        <f t="shared" ca="1" si="12"/>
        <v>14588</v>
      </c>
      <c r="I88" s="2">
        <f t="shared" si="10"/>
        <v>18</v>
      </c>
      <c r="J88" s="2">
        <f t="shared" si="11"/>
        <v>4</v>
      </c>
    </row>
    <row r="89" spans="1:10" x14ac:dyDescent="0.2">
      <c r="A89" s="5">
        <v>30429</v>
      </c>
      <c r="B89" s="2" t="s">
        <v>704</v>
      </c>
      <c r="C89" s="2" t="s">
        <v>705</v>
      </c>
      <c r="D89" s="7">
        <f t="shared" ca="1" si="12"/>
        <v>15314</v>
      </c>
      <c r="I89" s="2">
        <f t="shared" si="10"/>
        <v>23</v>
      </c>
      <c r="J89" s="2">
        <f t="shared" si="11"/>
        <v>4</v>
      </c>
    </row>
    <row r="90" spans="1:10" x14ac:dyDescent="0.2">
      <c r="A90" s="5">
        <v>28238</v>
      </c>
      <c r="B90" s="2" t="s">
        <v>776</v>
      </c>
      <c r="C90" s="2" t="s">
        <v>481</v>
      </c>
      <c r="D90" s="7">
        <f t="shared" ca="1" si="12"/>
        <v>17505</v>
      </c>
      <c r="I90" s="2">
        <f t="shared" ref="I90:I121" si="13">DAY(A90)</f>
        <v>23</v>
      </c>
      <c r="J90" s="2">
        <f t="shared" ref="J90:J121" si="14">MONTH(A90)</f>
        <v>4</v>
      </c>
    </row>
    <row r="91" spans="1:10" x14ac:dyDescent="0.2">
      <c r="A91" s="5">
        <v>24953</v>
      </c>
      <c r="B91" s="2" t="s">
        <v>595</v>
      </c>
      <c r="C91" s="2" t="s">
        <v>596</v>
      </c>
      <c r="D91" s="7">
        <f t="shared" ca="1" si="12"/>
        <v>20790</v>
      </c>
      <c r="I91" s="2">
        <f t="shared" si="13"/>
        <v>25</v>
      </c>
      <c r="J91" s="2">
        <f t="shared" si="14"/>
        <v>4</v>
      </c>
    </row>
    <row r="92" spans="1:10" x14ac:dyDescent="0.2">
      <c r="A92" s="5">
        <v>31892</v>
      </c>
      <c r="B92" s="2" t="s">
        <v>790</v>
      </c>
      <c r="C92" s="2" t="s">
        <v>378</v>
      </c>
      <c r="D92" s="7">
        <f t="shared" ca="1" si="12"/>
        <v>13851</v>
      </c>
      <c r="I92" s="2">
        <f t="shared" si="13"/>
        <v>25</v>
      </c>
      <c r="J92" s="2">
        <f t="shared" si="14"/>
        <v>4</v>
      </c>
    </row>
    <row r="93" spans="1:10" x14ac:dyDescent="0.2">
      <c r="A93" s="5">
        <v>32990</v>
      </c>
      <c r="B93" s="2" t="s">
        <v>1009</v>
      </c>
      <c r="C93" s="2" t="s">
        <v>1068</v>
      </c>
      <c r="D93" s="7">
        <f t="shared" ca="1" si="12"/>
        <v>12753</v>
      </c>
      <c r="I93" s="2">
        <f t="shared" si="13"/>
        <v>27</v>
      </c>
      <c r="J93" s="2">
        <f t="shared" si="14"/>
        <v>4</v>
      </c>
    </row>
    <row r="94" spans="1:10" x14ac:dyDescent="0.2">
      <c r="A94" s="5">
        <v>33722</v>
      </c>
      <c r="B94" s="2" t="s">
        <v>1449</v>
      </c>
      <c r="C94" s="2" t="s">
        <v>1471</v>
      </c>
      <c r="D94" s="7">
        <f t="shared" ca="1" si="12"/>
        <v>12021</v>
      </c>
      <c r="I94" s="2">
        <f t="shared" si="13"/>
        <v>28</v>
      </c>
      <c r="J94" s="2">
        <f t="shared" si="14"/>
        <v>4</v>
      </c>
    </row>
    <row r="95" spans="1:10" x14ac:dyDescent="0.2">
      <c r="A95" s="5">
        <v>21306</v>
      </c>
      <c r="B95" s="2" t="s">
        <v>701</v>
      </c>
      <c r="C95" s="2" t="s">
        <v>525</v>
      </c>
      <c r="D95" s="7">
        <f t="shared" ca="1" si="12"/>
        <v>24437</v>
      </c>
      <c r="G95" s="2" t="s">
        <v>148</v>
      </c>
      <c r="I95" s="2">
        <f t="shared" si="13"/>
        <v>1</v>
      </c>
      <c r="J95" s="2">
        <f t="shared" si="14"/>
        <v>5</v>
      </c>
    </row>
    <row r="96" spans="1:10" x14ac:dyDescent="0.2">
      <c r="A96" s="5">
        <v>31898</v>
      </c>
      <c r="B96" s="2" t="s">
        <v>1130</v>
      </c>
      <c r="C96" s="2" t="s">
        <v>387</v>
      </c>
      <c r="D96" s="7">
        <f t="shared" ca="1" si="12"/>
        <v>13845</v>
      </c>
      <c r="I96" s="2">
        <f t="shared" si="13"/>
        <v>1</v>
      </c>
      <c r="J96" s="2">
        <f t="shared" si="14"/>
        <v>5</v>
      </c>
    </row>
    <row r="97" spans="1:10" x14ac:dyDescent="0.2">
      <c r="A97" s="5">
        <v>23133</v>
      </c>
      <c r="B97" s="2" t="s">
        <v>702</v>
      </c>
      <c r="C97" s="2" t="s">
        <v>703</v>
      </c>
      <c r="D97" s="7">
        <f t="shared" ca="1" si="12"/>
        <v>22610</v>
      </c>
      <c r="G97" s="2" t="s">
        <v>148</v>
      </c>
      <c r="I97" s="2">
        <f t="shared" si="13"/>
        <v>2</v>
      </c>
      <c r="J97" s="2">
        <f t="shared" si="14"/>
        <v>5</v>
      </c>
    </row>
    <row r="98" spans="1:10" x14ac:dyDescent="0.2">
      <c r="A98" s="5">
        <v>32265</v>
      </c>
      <c r="B98" s="2" t="s">
        <v>824</v>
      </c>
      <c r="C98" s="2" t="s">
        <v>503</v>
      </c>
      <c r="D98" s="7">
        <f t="shared" ca="1" si="12"/>
        <v>13478</v>
      </c>
      <c r="I98" s="2">
        <f t="shared" si="13"/>
        <v>2</v>
      </c>
      <c r="J98" s="2">
        <f t="shared" si="14"/>
        <v>5</v>
      </c>
    </row>
    <row r="99" spans="1:10" x14ac:dyDescent="0.2">
      <c r="A99" s="5">
        <v>31169</v>
      </c>
      <c r="B99" s="2" t="s">
        <v>835</v>
      </c>
      <c r="C99" s="2" t="s">
        <v>633</v>
      </c>
      <c r="D99" s="7">
        <f t="shared" ca="1" si="12"/>
        <v>14574</v>
      </c>
      <c r="I99" s="2">
        <f t="shared" si="13"/>
        <v>2</v>
      </c>
      <c r="J99" s="2">
        <f t="shared" si="14"/>
        <v>5</v>
      </c>
    </row>
    <row r="100" spans="1:10" x14ac:dyDescent="0.2">
      <c r="A100" s="5">
        <v>33729</v>
      </c>
      <c r="B100" s="2" t="s">
        <v>1038</v>
      </c>
      <c r="C100" s="2" t="s">
        <v>420</v>
      </c>
      <c r="D100" s="7">
        <f t="shared" ca="1" si="12"/>
        <v>12014</v>
      </c>
      <c r="I100" s="2">
        <f t="shared" si="13"/>
        <v>5</v>
      </c>
      <c r="J100" s="2">
        <f t="shared" si="14"/>
        <v>5</v>
      </c>
    </row>
    <row r="101" spans="1:10" x14ac:dyDescent="0.2">
      <c r="A101" s="5">
        <v>21310</v>
      </c>
      <c r="B101" s="2" t="s">
        <v>624</v>
      </c>
      <c r="C101" s="2" t="s">
        <v>378</v>
      </c>
      <c r="D101" s="7">
        <f t="shared" ca="1" si="12"/>
        <v>24433</v>
      </c>
      <c r="I101" s="2">
        <f t="shared" si="13"/>
        <v>5</v>
      </c>
      <c r="J101" s="2">
        <f t="shared" si="14"/>
        <v>5</v>
      </c>
    </row>
    <row r="102" spans="1:10" x14ac:dyDescent="0.2">
      <c r="A102" s="5">
        <v>32270</v>
      </c>
      <c r="B102" s="2" t="s">
        <v>1039</v>
      </c>
      <c r="C102" s="2" t="s">
        <v>1040</v>
      </c>
      <c r="D102" s="7">
        <f t="shared" ca="1" si="12"/>
        <v>13473</v>
      </c>
      <c r="E102" s="10"/>
      <c r="F102" s="11"/>
      <c r="I102" s="2">
        <f t="shared" si="13"/>
        <v>7</v>
      </c>
      <c r="J102" s="2">
        <f t="shared" si="14"/>
        <v>5</v>
      </c>
    </row>
    <row r="103" spans="1:10" x14ac:dyDescent="0.2">
      <c r="A103" s="5">
        <v>31904</v>
      </c>
      <c r="B103" s="2" t="s">
        <v>836</v>
      </c>
      <c r="C103" s="2" t="s">
        <v>400</v>
      </c>
      <c r="D103" s="7">
        <f t="shared" ca="1" si="12"/>
        <v>13839</v>
      </c>
      <c r="E103" s="10" t="s">
        <v>837</v>
      </c>
      <c r="F103" s="11">
        <f>"19/10/2007"-A103</f>
        <v>7470</v>
      </c>
      <c r="I103" s="2">
        <f t="shared" si="13"/>
        <v>7</v>
      </c>
      <c r="J103" s="2">
        <f t="shared" si="14"/>
        <v>5</v>
      </c>
    </row>
    <row r="104" spans="1:10" x14ac:dyDescent="0.2">
      <c r="A104" s="5">
        <v>31175</v>
      </c>
      <c r="B104" s="2" t="s">
        <v>1013</v>
      </c>
      <c r="C104" s="2" t="s">
        <v>1069</v>
      </c>
      <c r="D104" s="7">
        <f t="shared" ca="1" si="12"/>
        <v>14568</v>
      </c>
      <c r="I104" s="2">
        <f t="shared" si="13"/>
        <v>8</v>
      </c>
      <c r="J104" s="2">
        <f t="shared" si="14"/>
        <v>5</v>
      </c>
    </row>
    <row r="105" spans="1:10" x14ac:dyDescent="0.2">
      <c r="A105" s="5">
        <v>19489</v>
      </c>
      <c r="B105" s="2" t="s">
        <v>572</v>
      </c>
      <c r="C105" s="2" t="s">
        <v>573</v>
      </c>
      <c r="D105" s="7">
        <f t="shared" ca="1" si="12"/>
        <v>26254</v>
      </c>
      <c r="I105" s="2">
        <f t="shared" si="13"/>
        <v>10</v>
      </c>
      <c r="J105" s="2">
        <f t="shared" si="14"/>
        <v>5</v>
      </c>
    </row>
    <row r="106" spans="1:10" x14ac:dyDescent="0.2">
      <c r="A106" s="5">
        <v>34099</v>
      </c>
      <c r="B106" s="2" t="s">
        <v>1133</v>
      </c>
      <c r="C106" s="2" t="s">
        <v>424</v>
      </c>
      <c r="D106" s="7">
        <f t="shared" ca="1" si="12"/>
        <v>11644</v>
      </c>
      <c r="I106" s="2">
        <f t="shared" si="13"/>
        <v>10</v>
      </c>
      <c r="J106" s="2">
        <f t="shared" si="14"/>
        <v>5</v>
      </c>
    </row>
    <row r="107" spans="1:10" x14ac:dyDescent="0.2">
      <c r="A107" s="5">
        <v>30813</v>
      </c>
      <c r="B107" s="2" t="s">
        <v>590</v>
      </c>
      <c r="C107" s="2" t="s">
        <v>506</v>
      </c>
      <c r="D107" s="7">
        <f t="shared" ca="1" si="12"/>
        <v>14930</v>
      </c>
      <c r="I107" s="2">
        <f t="shared" si="13"/>
        <v>11</v>
      </c>
      <c r="J107" s="2">
        <f t="shared" si="14"/>
        <v>5</v>
      </c>
    </row>
    <row r="108" spans="1:10" x14ac:dyDescent="0.2">
      <c r="A108" s="5">
        <v>132</v>
      </c>
      <c r="B108" s="2" t="s">
        <v>636</v>
      </c>
      <c r="C108" s="2" t="s">
        <v>637</v>
      </c>
      <c r="D108" s="13" t="str">
        <f ca="1">"1"&amp;TEXT((TODAY()-A108),"yy:mm:dd")</f>
        <v>124:11:15</v>
      </c>
      <c r="E108" s="10" t="s">
        <v>558</v>
      </c>
      <c r="F108" s="11">
        <f>"30/06/1975"-A108</f>
        <v>27443</v>
      </c>
      <c r="I108" s="2">
        <f t="shared" si="13"/>
        <v>11</v>
      </c>
      <c r="J108" s="2">
        <f t="shared" si="14"/>
        <v>5</v>
      </c>
    </row>
    <row r="109" spans="1:10" x14ac:dyDescent="0.2">
      <c r="A109" s="5">
        <v>22416</v>
      </c>
      <c r="B109" s="2" t="s">
        <v>410</v>
      </c>
      <c r="C109" s="2" t="s">
        <v>423</v>
      </c>
      <c r="D109" s="7">
        <f t="shared" ref="D109:D121" ca="1" si="15">TODAY()-A109</f>
        <v>23327</v>
      </c>
      <c r="I109" s="2">
        <f t="shared" si="13"/>
        <v>15</v>
      </c>
      <c r="J109" s="2">
        <f t="shared" si="14"/>
        <v>5</v>
      </c>
    </row>
    <row r="110" spans="1:10" x14ac:dyDescent="0.2">
      <c r="A110" s="5">
        <v>26068</v>
      </c>
      <c r="B110" s="2" t="s">
        <v>510</v>
      </c>
      <c r="C110" s="2" t="s">
        <v>501</v>
      </c>
      <c r="D110" s="7">
        <f t="shared" ca="1" si="15"/>
        <v>19675</v>
      </c>
      <c r="E110" s="15"/>
      <c r="F110" s="12"/>
      <c r="I110" s="2">
        <f t="shared" si="13"/>
        <v>15</v>
      </c>
      <c r="J110" s="2">
        <f t="shared" si="14"/>
        <v>5</v>
      </c>
    </row>
    <row r="111" spans="1:10" x14ac:dyDescent="0.2">
      <c r="A111" s="5">
        <v>23146</v>
      </c>
      <c r="B111" s="2" t="s">
        <v>374</v>
      </c>
      <c r="C111" s="2" t="s">
        <v>378</v>
      </c>
      <c r="D111" s="7">
        <f t="shared" ca="1" si="15"/>
        <v>22597</v>
      </c>
      <c r="I111" s="2">
        <f t="shared" si="13"/>
        <v>15</v>
      </c>
      <c r="J111" s="2">
        <f t="shared" si="14"/>
        <v>5</v>
      </c>
    </row>
    <row r="112" spans="1:10" x14ac:dyDescent="0.2">
      <c r="A112" s="5">
        <v>32645</v>
      </c>
      <c r="B112" s="2" t="s">
        <v>1465</v>
      </c>
      <c r="C112" s="2" t="s">
        <v>1470</v>
      </c>
      <c r="D112" s="7">
        <f t="shared" ca="1" si="15"/>
        <v>13098</v>
      </c>
      <c r="I112" s="2">
        <f t="shared" si="13"/>
        <v>17</v>
      </c>
      <c r="J112" s="2">
        <f t="shared" si="14"/>
        <v>5</v>
      </c>
    </row>
    <row r="113" spans="1:10" x14ac:dyDescent="0.2">
      <c r="A113" s="5">
        <v>14749</v>
      </c>
      <c r="B113" s="2" t="s">
        <v>403</v>
      </c>
      <c r="C113" s="2" t="s">
        <v>413</v>
      </c>
      <c r="D113" s="7">
        <f t="shared" ca="1" si="15"/>
        <v>30994</v>
      </c>
      <c r="I113" s="2">
        <f t="shared" si="13"/>
        <v>18</v>
      </c>
      <c r="J113" s="2">
        <f t="shared" si="14"/>
        <v>5</v>
      </c>
    </row>
    <row r="114" spans="1:10" x14ac:dyDescent="0.2">
      <c r="A114" s="5">
        <v>25344</v>
      </c>
      <c r="B114" s="2" t="s">
        <v>588</v>
      </c>
      <c r="C114" s="2" t="s">
        <v>589</v>
      </c>
      <c r="D114" s="7">
        <f t="shared" ca="1" si="15"/>
        <v>20399</v>
      </c>
      <c r="I114" s="2">
        <f t="shared" si="13"/>
        <v>21</v>
      </c>
      <c r="J114" s="2">
        <f t="shared" si="14"/>
        <v>5</v>
      </c>
    </row>
    <row r="115" spans="1:10" x14ac:dyDescent="0.2">
      <c r="A115" s="5">
        <v>29728</v>
      </c>
      <c r="B115" s="2" t="s">
        <v>461</v>
      </c>
      <c r="C115" s="2" t="s">
        <v>425</v>
      </c>
      <c r="D115" s="7">
        <f t="shared" ca="1" si="15"/>
        <v>16015</v>
      </c>
      <c r="I115" s="2">
        <f t="shared" si="13"/>
        <v>22</v>
      </c>
      <c r="J115" s="2">
        <f t="shared" si="14"/>
        <v>5</v>
      </c>
    </row>
    <row r="116" spans="1:10" x14ac:dyDescent="0.2">
      <c r="A116" s="5">
        <v>19866</v>
      </c>
      <c r="B116" s="2" t="s">
        <v>395</v>
      </c>
      <c r="C116" s="2" t="s">
        <v>387</v>
      </c>
      <c r="D116" s="7">
        <f t="shared" ca="1" si="15"/>
        <v>25877</v>
      </c>
      <c r="I116" s="2">
        <f t="shared" si="13"/>
        <v>22</v>
      </c>
      <c r="J116" s="2">
        <f t="shared" si="14"/>
        <v>5</v>
      </c>
    </row>
    <row r="117" spans="1:10" x14ac:dyDescent="0.2">
      <c r="A117" s="5">
        <v>20963</v>
      </c>
      <c r="B117" s="2" t="s">
        <v>625</v>
      </c>
      <c r="C117" s="2" t="s">
        <v>615</v>
      </c>
      <c r="D117" s="7">
        <f t="shared" ca="1" si="15"/>
        <v>24780</v>
      </c>
      <c r="I117" s="2">
        <f t="shared" si="13"/>
        <v>23</v>
      </c>
      <c r="J117" s="2">
        <f t="shared" si="14"/>
        <v>5</v>
      </c>
    </row>
    <row r="118" spans="1:10" x14ac:dyDescent="0.2">
      <c r="A118" s="5">
        <v>20601</v>
      </c>
      <c r="B118" s="2" t="s">
        <v>380</v>
      </c>
      <c r="C118" s="2" t="s">
        <v>381</v>
      </c>
      <c r="D118" s="7">
        <f t="shared" ca="1" si="15"/>
        <v>25142</v>
      </c>
      <c r="I118" s="2">
        <f t="shared" si="13"/>
        <v>26</v>
      </c>
      <c r="J118" s="2">
        <f t="shared" si="14"/>
        <v>5</v>
      </c>
    </row>
    <row r="119" spans="1:10" x14ac:dyDescent="0.2">
      <c r="A119" s="5">
        <v>30830</v>
      </c>
      <c r="B119" s="2" t="s">
        <v>854</v>
      </c>
      <c r="C119" s="2" t="s">
        <v>794</v>
      </c>
      <c r="D119" s="7">
        <f t="shared" ca="1" si="15"/>
        <v>14913</v>
      </c>
      <c r="I119" s="2">
        <f t="shared" si="13"/>
        <v>28</v>
      </c>
      <c r="J119" s="2">
        <f t="shared" si="14"/>
        <v>5</v>
      </c>
    </row>
    <row r="120" spans="1:10" x14ac:dyDescent="0.2">
      <c r="A120" s="5">
        <v>29735</v>
      </c>
      <c r="B120" s="2" t="s">
        <v>798</v>
      </c>
      <c r="C120" s="2" t="s">
        <v>794</v>
      </c>
      <c r="D120" s="7">
        <f t="shared" ca="1" si="15"/>
        <v>16008</v>
      </c>
      <c r="I120" s="2">
        <f t="shared" si="13"/>
        <v>29</v>
      </c>
      <c r="J120" s="2">
        <f t="shared" si="14"/>
        <v>5</v>
      </c>
    </row>
    <row r="121" spans="1:10" x14ac:dyDescent="0.2">
      <c r="A121" s="5">
        <v>33022</v>
      </c>
      <c r="B121" s="2" t="s">
        <v>1016</v>
      </c>
      <c r="C121" s="2" t="s">
        <v>1070</v>
      </c>
      <c r="D121" s="7">
        <f t="shared" ca="1" si="15"/>
        <v>12721</v>
      </c>
      <c r="I121" s="2">
        <f t="shared" si="13"/>
        <v>29</v>
      </c>
      <c r="J121" s="2">
        <f t="shared" si="14"/>
        <v>5</v>
      </c>
    </row>
    <row r="122" spans="1:10" x14ac:dyDescent="0.2">
      <c r="A122" s="5">
        <v>2711</v>
      </c>
      <c r="B122" s="2" t="s">
        <v>408</v>
      </c>
      <c r="C122" s="2" t="s">
        <v>387</v>
      </c>
      <c r="D122" s="13" t="str">
        <f ca="1">"1"&amp;TEXT((TODAY()-A122),"yy:mm:dd")</f>
        <v>117:10:24</v>
      </c>
      <c r="E122" s="10" t="s">
        <v>421</v>
      </c>
      <c r="F122" s="11">
        <f>"30/06/1974"-A122</f>
        <v>24499</v>
      </c>
      <c r="I122" s="2">
        <f t="shared" ref="I122:I153" si="16">DAY(A122)</f>
        <v>3</v>
      </c>
      <c r="J122" s="2">
        <f t="shared" ref="J122:J153" si="17">MONTH(A122)</f>
        <v>6</v>
      </c>
    </row>
    <row r="123" spans="1:10" x14ac:dyDescent="0.2">
      <c r="A123" s="5">
        <v>7095</v>
      </c>
      <c r="B123" s="2" t="s">
        <v>567</v>
      </c>
      <c r="C123" s="2" t="s">
        <v>387</v>
      </c>
      <c r="D123" s="13" t="str">
        <f ca="1">"1"&amp;TEXT((TODAY()-A123),"yy:mm:dd")</f>
        <v>105:10:23</v>
      </c>
      <c r="E123" s="10" t="s">
        <v>568</v>
      </c>
      <c r="F123" s="11">
        <f>"15/04/1991"-A123</f>
        <v>26248</v>
      </c>
      <c r="I123" s="2">
        <f t="shared" si="16"/>
        <v>4</v>
      </c>
      <c r="J123" s="2">
        <f t="shared" si="17"/>
        <v>6</v>
      </c>
    </row>
    <row r="124" spans="1:10" x14ac:dyDescent="0.2">
      <c r="A124" s="5">
        <v>2349</v>
      </c>
      <c r="B124" s="2" t="s">
        <v>666</v>
      </c>
      <c r="C124" s="2" t="s">
        <v>667</v>
      </c>
      <c r="D124" s="13" t="str">
        <f ca="1">"1"&amp;TEXT((TODAY()-"06/06/2006"),"yy:mm:dd")</f>
        <v>118:10:21</v>
      </c>
      <c r="E124" s="10" t="s">
        <v>668</v>
      </c>
      <c r="F124" s="11">
        <f>"30/04/1983"-A124</f>
        <v>28087</v>
      </c>
      <c r="G124" s="2" t="s">
        <v>148</v>
      </c>
      <c r="I124" s="2">
        <f t="shared" si="16"/>
        <v>6</v>
      </c>
      <c r="J124" s="2">
        <f t="shared" si="17"/>
        <v>6</v>
      </c>
    </row>
    <row r="125" spans="1:10" x14ac:dyDescent="0.2">
      <c r="A125" s="5">
        <v>18786</v>
      </c>
      <c r="B125" s="2" t="s">
        <v>396</v>
      </c>
      <c r="C125" s="2" t="s">
        <v>397</v>
      </c>
      <c r="D125" s="7">
        <f ca="1">TODAY()-A125</f>
        <v>26957</v>
      </c>
      <c r="I125" s="2">
        <f t="shared" si="16"/>
        <v>7</v>
      </c>
      <c r="J125" s="2">
        <f t="shared" si="17"/>
        <v>6</v>
      </c>
    </row>
    <row r="126" spans="1:10" x14ac:dyDescent="0.2">
      <c r="A126" s="5">
        <v>34492</v>
      </c>
      <c r="B126" s="2" t="s">
        <v>1134</v>
      </c>
      <c r="C126" s="2" t="s">
        <v>501</v>
      </c>
      <c r="D126" s="7">
        <f ca="1">TODAY()-A126</f>
        <v>11251</v>
      </c>
      <c r="I126" s="2">
        <f t="shared" si="16"/>
        <v>7</v>
      </c>
      <c r="J126" s="2">
        <f t="shared" si="17"/>
        <v>6</v>
      </c>
    </row>
    <row r="127" spans="1:10" x14ac:dyDescent="0.2">
      <c r="A127" s="5">
        <v>22075</v>
      </c>
      <c r="B127" s="2" t="s">
        <v>468</v>
      </c>
      <c r="C127" s="2" t="s">
        <v>471</v>
      </c>
      <c r="D127" s="7">
        <f ca="1">TODAY()-A127</f>
        <v>23668</v>
      </c>
      <c r="I127" s="2">
        <f t="shared" si="16"/>
        <v>8</v>
      </c>
      <c r="J127" s="2">
        <f t="shared" si="17"/>
        <v>6</v>
      </c>
    </row>
    <row r="128" spans="1:10" x14ac:dyDescent="0.2">
      <c r="A128" s="5">
        <v>1621</v>
      </c>
      <c r="B128" s="2" t="s">
        <v>470</v>
      </c>
      <c r="C128" s="2" t="s">
        <v>474</v>
      </c>
      <c r="D128" s="13" t="str">
        <f ca="1">"1"&amp;TEXT((TODAY()-A128),"yy:mm:dd")</f>
        <v>120:10:18</v>
      </c>
      <c r="E128" s="10" t="s">
        <v>475</v>
      </c>
      <c r="F128" s="11">
        <f>"15/10/1964"-A128</f>
        <v>22044</v>
      </c>
      <c r="I128" s="2">
        <f t="shared" si="16"/>
        <v>8</v>
      </c>
      <c r="J128" s="2">
        <f t="shared" si="17"/>
        <v>6</v>
      </c>
    </row>
    <row r="129" spans="1:11" x14ac:dyDescent="0.2">
      <c r="A129" s="5">
        <v>17693</v>
      </c>
      <c r="B129" s="2" t="s">
        <v>689</v>
      </c>
      <c r="C129" s="2" t="s">
        <v>633</v>
      </c>
      <c r="D129" s="7">
        <f ca="1">TODAY()-A129</f>
        <v>28050</v>
      </c>
      <c r="G129" s="2" t="s">
        <v>148</v>
      </c>
      <c r="I129" s="2">
        <f t="shared" si="16"/>
        <v>9</v>
      </c>
      <c r="J129" s="2">
        <f t="shared" si="17"/>
        <v>6</v>
      </c>
    </row>
    <row r="130" spans="1:11" x14ac:dyDescent="0.2">
      <c r="A130" s="5">
        <v>18425</v>
      </c>
      <c r="B130" s="2" t="s">
        <v>696</v>
      </c>
      <c r="C130" s="2" t="s">
        <v>519</v>
      </c>
      <c r="D130" s="7">
        <f ca="1">TODAY()-A130</f>
        <v>27318</v>
      </c>
      <c r="G130" s="2" t="s">
        <v>148</v>
      </c>
      <c r="I130" s="2">
        <f t="shared" si="16"/>
        <v>11</v>
      </c>
      <c r="J130" s="2">
        <f t="shared" si="17"/>
        <v>6</v>
      </c>
    </row>
    <row r="131" spans="1:11" x14ac:dyDescent="0.2">
      <c r="A131" s="5">
        <v>34861</v>
      </c>
      <c r="B131" s="2" t="s">
        <v>1461</v>
      </c>
      <c r="C131" s="2" t="s">
        <v>809</v>
      </c>
      <c r="D131" s="7">
        <f ca="1">TODAY()-A131</f>
        <v>10882</v>
      </c>
      <c r="I131" s="2">
        <f t="shared" si="16"/>
        <v>11</v>
      </c>
      <c r="J131" s="2">
        <f t="shared" si="17"/>
        <v>6</v>
      </c>
    </row>
    <row r="132" spans="1:11" x14ac:dyDescent="0.2">
      <c r="A132" s="5">
        <v>8199</v>
      </c>
      <c r="B132" s="2" t="s">
        <v>406</v>
      </c>
      <c r="C132" s="2" t="s">
        <v>418</v>
      </c>
      <c r="D132" s="13" t="str">
        <f ca="1">"1"&amp;TEXT((TODAY()-A132),"yy:mm:dd")</f>
        <v>102:10:15</v>
      </c>
      <c r="E132" s="10" t="s">
        <v>419</v>
      </c>
      <c r="F132" s="11">
        <f>"15/02/1985"-A132</f>
        <v>22894</v>
      </c>
      <c r="I132" s="2">
        <f t="shared" si="16"/>
        <v>12</v>
      </c>
      <c r="J132" s="2">
        <f t="shared" si="17"/>
        <v>6</v>
      </c>
    </row>
    <row r="133" spans="1:11" x14ac:dyDescent="0.2">
      <c r="A133" s="5">
        <v>7104</v>
      </c>
      <c r="B133" s="2" t="s">
        <v>592</v>
      </c>
      <c r="C133" s="2" t="s">
        <v>593</v>
      </c>
      <c r="D133" s="13" t="str">
        <f ca="1">"1"&amp;TEXT((TODAY()-A133),"yy:mm:dd")</f>
        <v>105:10:14</v>
      </c>
      <c r="E133" s="10" t="s">
        <v>594</v>
      </c>
      <c r="F133" s="11">
        <f>"30/06/2005"-A133</f>
        <v>31429</v>
      </c>
      <c r="I133" s="2">
        <f t="shared" si="16"/>
        <v>13</v>
      </c>
      <c r="J133" s="2">
        <f t="shared" si="17"/>
        <v>6</v>
      </c>
    </row>
    <row r="134" spans="1:11" x14ac:dyDescent="0.2">
      <c r="A134" s="5">
        <v>18068</v>
      </c>
      <c r="B134" s="2" t="s">
        <v>697</v>
      </c>
      <c r="C134" s="2" t="s">
        <v>698</v>
      </c>
      <c r="D134" s="7">
        <f t="shared" ref="D134:D148" ca="1" si="18">TODAY()-A134</f>
        <v>27675</v>
      </c>
      <c r="G134" s="2" t="s">
        <v>148</v>
      </c>
      <c r="I134" s="2">
        <f t="shared" si="16"/>
        <v>19</v>
      </c>
      <c r="J134" s="2">
        <f t="shared" si="17"/>
        <v>6</v>
      </c>
    </row>
    <row r="135" spans="1:11" x14ac:dyDescent="0.2">
      <c r="A135" s="5">
        <v>18799</v>
      </c>
      <c r="B135" s="2" t="s">
        <v>699</v>
      </c>
      <c r="C135" s="2" t="s">
        <v>700</v>
      </c>
      <c r="D135" s="7">
        <f t="shared" ca="1" si="18"/>
        <v>26944</v>
      </c>
      <c r="G135" s="2" t="s">
        <v>148</v>
      </c>
      <c r="I135" s="2">
        <f t="shared" si="16"/>
        <v>20</v>
      </c>
      <c r="J135" s="2">
        <f t="shared" si="17"/>
        <v>6</v>
      </c>
    </row>
    <row r="136" spans="1:11" x14ac:dyDescent="0.2">
      <c r="A136" s="5">
        <v>32680</v>
      </c>
      <c r="B136" s="2" t="s">
        <v>1011</v>
      </c>
      <c r="C136" s="2" t="s">
        <v>1072</v>
      </c>
      <c r="D136" s="7">
        <f t="shared" ca="1" si="18"/>
        <v>13063</v>
      </c>
      <c r="I136" s="2">
        <f t="shared" si="16"/>
        <v>21</v>
      </c>
      <c r="J136" s="2">
        <f t="shared" si="17"/>
        <v>6</v>
      </c>
      <c r="K136" s="2" t="s">
        <v>1125</v>
      </c>
    </row>
    <row r="137" spans="1:11" x14ac:dyDescent="0.2">
      <c r="A137" s="5">
        <v>25011</v>
      </c>
      <c r="B137" s="2" t="s">
        <v>576</v>
      </c>
      <c r="C137" s="2" t="s">
        <v>577</v>
      </c>
      <c r="D137" s="7">
        <f t="shared" ca="1" si="18"/>
        <v>20732</v>
      </c>
      <c r="I137" s="2">
        <f t="shared" si="16"/>
        <v>22</v>
      </c>
      <c r="J137" s="2">
        <f t="shared" si="17"/>
        <v>6</v>
      </c>
    </row>
    <row r="138" spans="1:11" x14ac:dyDescent="0.2">
      <c r="A138" s="5">
        <v>32317</v>
      </c>
      <c r="B138" s="2" t="s">
        <v>751</v>
      </c>
      <c r="D138" s="7">
        <f t="shared" ca="1" si="18"/>
        <v>13426</v>
      </c>
      <c r="I138" s="2">
        <f t="shared" si="16"/>
        <v>23</v>
      </c>
      <c r="J138" s="2">
        <f t="shared" si="17"/>
        <v>6</v>
      </c>
    </row>
    <row r="139" spans="1:11" x14ac:dyDescent="0.2">
      <c r="A139" s="5">
        <v>9671</v>
      </c>
      <c r="B139" s="2" t="s">
        <v>527</v>
      </c>
      <c r="C139" s="2" t="s">
        <v>528</v>
      </c>
      <c r="D139" s="9">
        <f t="shared" ca="1" si="18"/>
        <v>36072</v>
      </c>
      <c r="E139" s="10" t="s">
        <v>529</v>
      </c>
      <c r="F139" s="11">
        <f>"15/04/1973"-A139</f>
        <v>17098</v>
      </c>
      <c r="I139" s="2">
        <f t="shared" si="16"/>
        <v>23</v>
      </c>
      <c r="J139" s="2">
        <f t="shared" si="17"/>
        <v>6</v>
      </c>
    </row>
    <row r="140" spans="1:11" x14ac:dyDescent="0.2">
      <c r="A140" s="5">
        <v>10402</v>
      </c>
      <c r="B140" s="2" t="s">
        <v>680</v>
      </c>
      <c r="C140" s="2" t="s">
        <v>681</v>
      </c>
      <c r="D140" s="9">
        <f t="shared" ca="1" si="18"/>
        <v>35341</v>
      </c>
      <c r="E140" s="10" t="s">
        <v>682</v>
      </c>
      <c r="F140" s="11">
        <f>"15/11/2007"-A140</f>
        <v>28999</v>
      </c>
      <c r="G140" s="2" t="s">
        <v>148</v>
      </c>
      <c r="I140" s="2">
        <f t="shared" si="16"/>
        <v>23</v>
      </c>
      <c r="J140" s="2">
        <f t="shared" si="17"/>
        <v>6</v>
      </c>
    </row>
    <row r="141" spans="1:11" x14ac:dyDescent="0.2">
      <c r="A141" s="5">
        <v>31588</v>
      </c>
      <c r="B141" s="2" t="s">
        <v>823</v>
      </c>
      <c r="C141" s="2" t="s">
        <v>550</v>
      </c>
      <c r="D141" s="7">
        <f t="shared" ca="1" si="18"/>
        <v>14155</v>
      </c>
      <c r="I141" s="2">
        <f t="shared" si="16"/>
        <v>25</v>
      </c>
      <c r="J141" s="2">
        <f t="shared" si="17"/>
        <v>6</v>
      </c>
    </row>
    <row r="142" spans="1:11" x14ac:dyDescent="0.2">
      <c r="A142" s="5">
        <v>30858</v>
      </c>
      <c r="B142" s="2" t="s">
        <v>840</v>
      </c>
      <c r="C142" s="2" t="s">
        <v>633</v>
      </c>
      <c r="D142" s="7">
        <f t="shared" ca="1" si="18"/>
        <v>14885</v>
      </c>
      <c r="I142" s="2">
        <f t="shared" si="16"/>
        <v>25</v>
      </c>
      <c r="J142" s="2">
        <f t="shared" si="17"/>
        <v>6</v>
      </c>
    </row>
    <row r="143" spans="1:11" x14ac:dyDescent="0.2">
      <c r="A143" s="5">
        <v>25749</v>
      </c>
      <c r="B143" s="2" t="s">
        <v>559</v>
      </c>
      <c r="C143" s="2" t="s">
        <v>560</v>
      </c>
      <c r="D143" s="7">
        <f t="shared" ca="1" si="18"/>
        <v>19994</v>
      </c>
      <c r="I143" s="2">
        <f t="shared" si="16"/>
        <v>30</v>
      </c>
      <c r="J143" s="2">
        <f t="shared" si="17"/>
        <v>6</v>
      </c>
    </row>
    <row r="144" spans="1:11" x14ac:dyDescent="0.2">
      <c r="A144" s="5">
        <v>29036</v>
      </c>
      <c r="B144" s="2" t="s">
        <v>772</v>
      </c>
      <c r="C144" s="2" t="s">
        <v>1071</v>
      </c>
      <c r="D144" s="7">
        <f t="shared" ca="1" si="18"/>
        <v>16707</v>
      </c>
      <c r="I144" s="2">
        <f t="shared" si="16"/>
        <v>30</v>
      </c>
      <c r="J144" s="2">
        <f t="shared" si="17"/>
        <v>6</v>
      </c>
    </row>
    <row r="145" spans="1:10" x14ac:dyDescent="0.2">
      <c r="A145" s="5">
        <v>29767</v>
      </c>
      <c r="B145" s="2" t="s">
        <v>1010</v>
      </c>
      <c r="C145" s="2" t="s">
        <v>752</v>
      </c>
      <c r="D145" s="7">
        <f t="shared" ca="1" si="18"/>
        <v>15976</v>
      </c>
      <c r="I145" s="2">
        <f t="shared" si="16"/>
        <v>30</v>
      </c>
      <c r="J145" s="2">
        <f t="shared" si="17"/>
        <v>6</v>
      </c>
    </row>
    <row r="146" spans="1:10" x14ac:dyDescent="0.2">
      <c r="A146" s="5">
        <v>15524</v>
      </c>
      <c r="B146" s="2" t="s">
        <v>629</v>
      </c>
      <c r="C146" s="2" t="s">
        <v>630</v>
      </c>
      <c r="D146" s="7">
        <f t="shared" ca="1" si="18"/>
        <v>30219</v>
      </c>
      <c r="I146" s="2">
        <f t="shared" si="16"/>
        <v>2</v>
      </c>
      <c r="J146" s="2">
        <f t="shared" si="17"/>
        <v>7</v>
      </c>
    </row>
    <row r="147" spans="1:10" x14ac:dyDescent="0.2">
      <c r="A147" s="5">
        <v>27213</v>
      </c>
      <c r="B147" s="2" t="s">
        <v>817</v>
      </c>
      <c r="C147" s="2" t="s">
        <v>1064</v>
      </c>
      <c r="D147" s="7">
        <f t="shared" ca="1" si="18"/>
        <v>18530</v>
      </c>
      <c r="I147" s="2">
        <f t="shared" si="16"/>
        <v>3</v>
      </c>
      <c r="J147" s="2">
        <f t="shared" si="17"/>
        <v>7</v>
      </c>
    </row>
    <row r="148" spans="1:10" x14ac:dyDescent="0.2">
      <c r="A148" s="5">
        <v>19909</v>
      </c>
      <c r="B148" s="2" t="s">
        <v>388</v>
      </c>
      <c r="C148" s="2" t="s">
        <v>389</v>
      </c>
      <c r="D148" s="7">
        <f t="shared" ca="1" si="18"/>
        <v>25834</v>
      </c>
      <c r="I148" s="2">
        <f t="shared" si="16"/>
        <v>4</v>
      </c>
      <c r="J148" s="2">
        <f t="shared" si="17"/>
        <v>7</v>
      </c>
    </row>
    <row r="149" spans="1:10" x14ac:dyDescent="0.2">
      <c r="A149" s="5">
        <v>2377</v>
      </c>
      <c r="B149" s="2" t="s">
        <v>533</v>
      </c>
      <c r="C149" s="2" t="s">
        <v>378</v>
      </c>
      <c r="D149" s="13" t="str">
        <f ca="1">"1"&amp;TEXT((TODAY()-A149),"yy:mm:dd")</f>
        <v>118:09:23</v>
      </c>
      <c r="E149" s="10" t="s">
        <v>454</v>
      </c>
      <c r="F149" s="11">
        <f>"30/06/1979"-A149</f>
        <v>26659</v>
      </c>
      <c r="I149" s="2">
        <f t="shared" si="16"/>
        <v>4</v>
      </c>
      <c r="J149" s="2">
        <f t="shared" si="17"/>
        <v>7</v>
      </c>
    </row>
    <row r="150" spans="1:10" x14ac:dyDescent="0.2">
      <c r="A150" s="5">
        <v>2015</v>
      </c>
      <c r="B150" s="2" t="s">
        <v>524</v>
      </c>
      <c r="C150" s="2" t="s">
        <v>525</v>
      </c>
      <c r="D150" s="13" t="str">
        <f ca="1">"1"&amp;TEXT((TODAY()-A150),"yy:mm:dd")</f>
        <v>119:09:20</v>
      </c>
      <c r="E150" s="10" t="s">
        <v>526</v>
      </c>
      <c r="F150" s="11">
        <f>"30/06/2001"-A150</f>
        <v>35057</v>
      </c>
      <c r="I150" s="2">
        <f t="shared" si="16"/>
        <v>7</v>
      </c>
      <c r="J150" s="2">
        <f t="shared" si="17"/>
        <v>7</v>
      </c>
    </row>
    <row r="151" spans="1:10" x14ac:dyDescent="0.2">
      <c r="A151" s="5">
        <v>4937</v>
      </c>
      <c r="B151" s="7" t="s">
        <v>535</v>
      </c>
      <c r="C151" s="2" t="s">
        <v>536</v>
      </c>
      <c r="D151" s="13" t="str">
        <f ca="1">"1"&amp;TEXT((TODAY()-A151),"yy:mm:dd")</f>
        <v>111:09:20</v>
      </c>
      <c r="E151" s="10" t="s">
        <v>537</v>
      </c>
      <c r="F151" s="11">
        <f>"30/08/1994"-A151</f>
        <v>29639</v>
      </c>
      <c r="I151" s="2">
        <f t="shared" si="16"/>
        <v>7</v>
      </c>
      <c r="J151" s="2">
        <f t="shared" si="17"/>
        <v>7</v>
      </c>
    </row>
    <row r="152" spans="1:10" x14ac:dyDescent="0.2">
      <c r="A152" s="5">
        <v>31966</v>
      </c>
      <c r="B152" s="2" t="s">
        <v>760</v>
      </c>
      <c r="C152" s="2" t="s">
        <v>637</v>
      </c>
      <c r="D152" s="7">
        <f t="shared" ref="D152:D159" ca="1" si="19">TODAY()-A152</f>
        <v>13777</v>
      </c>
      <c r="I152" s="2">
        <f t="shared" si="16"/>
        <v>8</v>
      </c>
      <c r="J152" s="2">
        <f t="shared" si="17"/>
        <v>7</v>
      </c>
    </row>
    <row r="153" spans="1:10" x14ac:dyDescent="0.2">
      <c r="A153" s="5">
        <v>29411</v>
      </c>
      <c r="B153" s="2" t="s">
        <v>771</v>
      </c>
      <c r="C153" s="2" t="s">
        <v>770</v>
      </c>
      <c r="D153" s="7">
        <f t="shared" ca="1" si="19"/>
        <v>16332</v>
      </c>
      <c r="I153" s="2">
        <f t="shared" si="16"/>
        <v>9</v>
      </c>
      <c r="J153" s="2">
        <f t="shared" si="17"/>
        <v>7</v>
      </c>
    </row>
    <row r="154" spans="1:10" x14ac:dyDescent="0.2">
      <c r="A154" s="5">
        <v>34890</v>
      </c>
      <c r="B154" s="2" t="s">
        <v>1050</v>
      </c>
      <c r="C154" s="2" t="s">
        <v>1051</v>
      </c>
      <c r="D154" s="7">
        <f t="shared" ca="1" si="19"/>
        <v>10853</v>
      </c>
      <c r="I154" s="2">
        <f t="shared" ref="I154:I185" si="20">DAY(A154)</f>
        <v>10</v>
      </c>
      <c r="J154" s="2">
        <f t="shared" ref="J154:J185" si="21">MONTH(A154)</f>
        <v>7</v>
      </c>
    </row>
    <row r="155" spans="1:10" x14ac:dyDescent="0.2">
      <c r="A155" s="5">
        <v>27220</v>
      </c>
      <c r="B155" s="2" t="s">
        <v>757</v>
      </c>
      <c r="C155" s="2" t="s">
        <v>758</v>
      </c>
      <c r="D155" s="7">
        <f t="shared" ca="1" si="19"/>
        <v>18523</v>
      </c>
      <c r="I155" s="2">
        <f t="shared" si="20"/>
        <v>10</v>
      </c>
      <c r="J155" s="2">
        <f t="shared" si="21"/>
        <v>7</v>
      </c>
    </row>
    <row r="156" spans="1:10" x14ac:dyDescent="0.2">
      <c r="A156" s="5">
        <v>31604</v>
      </c>
      <c r="B156" s="2" t="s">
        <v>1033</v>
      </c>
      <c r="C156" s="2" t="s">
        <v>1034</v>
      </c>
      <c r="D156" s="7">
        <f t="shared" ca="1" si="19"/>
        <v>14139</v>
      </c>
      <c r="I156" s="2">
        <f t="shared" si="20"/>
        <v>11</v>
      </c>
      <c r="J156" s="2">
        <f t="shared" si="21"/>
        <v>7</v>
      </c>
    </row>
    <row r="157" spans="1:10" x14ac:dyDescent="0.2">
      <c r="A157" s="5">
        <v>32341</v>
      </c>
      <c r="B157" s="2" t="s">
        <v>789</v>
      </c>
      <c r="C157" s="2" t="s">
        <v>1073</v>
      </c>
      <c r="D157" s="7">
        <f t="shared" ca="1" si="19"/>
        <v>13402</v>
      </c>
      <c r="I157" s="2">
        <f t="shared" si="20"/>
        <v>17</v>
      </c>
      <c r="J157" s="2">
        <f t="shared" si="21"/>
        <v>7</v>
      </c>
    </row>
    <row r="158" spans="1:10" x14ac:dyDescent="0.2">
      <c r="A158" s="5">
        <v>27599</v>
      </c>
      <c r="B158" s="2" t="s">
        <v>458</v>
      </c>
      <c r="C158" s="2" t="s">
        <v>463</v>
      </c>
      <c r="D158" s="7">
        <f t="shared" ca="1" si="19"/>
        <v>18144</v>
      </c>
      <c r="G158" s="2" t="s">
        <v>148</v>
      </c>
      <c r="I158" s="2">
        <f t="shared" si="20"/>
        <v>24</v>
      </c>
      <c r="J158" s="2">
        <f t="shared" si="21"/>
        <v>7</v>
      </c>
    </row>
    <row r="159" spans="1:10" x14ac:dyDescent="0.2">
      <c r="A159" s="5">
        <v>29791</v>
      </c>
      <c r="B159" s="2" t="s">
        <v>784</v>
      </c>
      <c r="C159" s="2" t="s">
        <v>783</v>
      </c>
      <c r="D159" s="7">
        <f t="shared" ca="1" si="19"/>
        <v>15952</v>
      </c>
      <c r="I159" s="2">
        <f t="shared" si="20"/>
        <v>24</v>
      </c>
      <c r="J159" s="2">
        <f t="shared" si="21"/>
        <v>7</v>
      </c>
    </row>
    <row r="160" spans="1:10" x14ac:dyDescent="0.2">
      <c r="A160" s="5">
        <v>8241</v>
      </c>
      <c r="B160" s="2" t="s">
        <v>626</v>
      </c>
      <c r="C160" s="2" t="s">
        <v>416</v>
      </c>
      <c r="D160" s="13" t="str">
        <f ca="1">"1"&amp;TEXT((TODAY()-A160),"yy:mm:dd")</f>
        <v>102:09:03</v>
      </c>
      <c r="E160" s="10" t="s">
        <v>599</v>
      </c>
      <c r="F160" s="11">
        <f>"30/06/2004"-A160</f>
        <v>29927</v>
      </c>
      <c r="I160" s="2">
        <f t="shared" si="20"/>
        <v>24</v>
      </c>
      <c r="J160" s="2">
        <f t="shared" si="21"/>
        <v>7</v>
      </c>
    </row>
    <row r="161" spans="1:10" x14ac:dyDescent="0.2">
      <c r="A161" s="5">
        <v>22122</v>
      </c>
      <c r="B161" s="2" t="s">
        <v>548</v>
      </c>
      <c r="C161" s="2" t="s">
        <v>400</v>
      </c>
      <c r="D161" s="7">
        <f ca="1">TODAY()-A161</f>
        <v>23621</v>
      </c>
      <c r="H161" s="12"/>
      <c r="I161" s="2">
        <f t="shared" si="20"/>
        <v>25</v>
      </c>
      <c r="J161" s="2">
        <f t="shared" si="21"/>
        <v>7</v>
      </c>
    </row>
    <row r="162" spans="1:10" x14ac:dyDescent="0.2">
      <c r="A162" s="5">
        <v>23949</v>
      </c>
      <c r="B162" s="2" t="s">
        <v>802</v>
      </c>
      <c r="C162" s="2" t="s">
        <v>803</v>
      </c>
      <c r="D162" s="7">
        <f ca="1">TODAY()-A162</f>
        <v>21794</v>
      </c>
      <c r="I162" s="2">
        <f t="shared" si="20"/>
        <v>26</v>
      </c>
      <c r="J162" s="2">
        <f t="shared" si="21"/>
        <v>7</v>
      </c>
    </row>
    <row r="163" spans="1:10" x14ac:dyDescent="0.2">
      <c r="A163" s="5">
        <v>1305</v>
      </c>
      <c r="B163" s="2" t="s">
        <v>644</v>
      </c>
      <c r="C163" s="2" t="s">
        <v>645</v>
      </c>
      <c r="D163" s="13" t="str">
        <f ca="1">"1"&amp;TEXT((TODAY()-A163),"yy:mm:dd")</f>
        <v>121:08:30</v>
      </c>
      <c r="E163" s="10" t="s">
        <v>646</v>
      </c>
      <c r="F163" s="11">
        <f>"15/07/1961"-A163</f>
        <v>21172</v>
      </c>
      <c r="I163" s="2">
        <f t="shared" si="20"/>
        <v>28</v>
      </c>
      <c r="J163" s="2">
        <f t="shared" si="21"/>
        <v>7</v>
      </c>
    </row>
    <row r="164" spans="1:10" x14ac:dyDescent="0.2">
      <c r="A164" s="5">
        <v>27605</v>
      </c>
      <c r="B164" s="2" t="s">
        <v>512</v>
      </c>
      <c r="C164" s="2" t="s">
        <v>500</v>
      </c>
      <c r="D164" s="7">
        <f t="shared" ref="D164:D181" ca="1" si="22">TODAY()-A164</f>
        <v>18138</v>
      </c>
      <c r="E164" s="15"/>
      <c r="F164" s="12"/>
      <c r="I164" s="2">
        <f t="shared" si="20"/>
        <v>30</v>
      </c>
      <c r="J164" s="2">
        <f t="shared" si="21"/>
        <v>7</v>
      </c>
    </row>
    <row r="165" spans="1:10" x14ac:dyDescent="0.2">
      <c r="A165" s="5">
        <v>15921</v>
      </c>
      <c r="B165" s="2" t="s">
        <v>404</v>
      </c>
      <c r="C165" s="2" t="s">
        <v>414</v>
      </c>
      <c r="D165" s="9">
        <f t="shared" ca="1" si="22"/>
        <v>29822</v>
      </c>
      <c r="E165" s="6" t="s">
        <v>415</v>
      </c>
      <c r="F165" s="11">
        <f>"15/01/2008"-A165</f>
        <v>23541</v>
      </c>
      <c r="I165" s="2">
        <f t="shared" si="20"/>
        <v>3</v>
      </c>
      <c r="J165" s="2">
        <f t="shared" si="21"/>
        <v>8</v>
      </c>
    </row>
    <row r="166" spans="1:10" x14ac:dyDescent="0.2">
      <c r="A166" s="5">
        <v>23592</v>
      </c>
      <c r="B166" s="2" t="s">
        <v>579</v>
      </c>
      <c r="C166" s="2" t="s">
        <v>580</v>
      </c>
      <c r="D166" s="7">
        <f t="shared" ca="1" si="22"/>
        <v>22151</v>
      </c>
      <c r="I166" s="2">
        <f t="shared" si="20"/>
        <v>3</v>
      </c>
      <c r="J166" s="2">
        <f t="shared" si="21"/>
        <v>8</v>
      </c>
    </row>
    <row r="167" spans="1:10" x14ac:dyDescent="0.2">
      <c r="A167" s="5">
        <v>32725</v>
      </c>
      <c r="B167" s="2" t="s">
        <v>778</v>
      </c>
      <c r="C167" s="2" t="s">
        <v>525</v>
      </c>
      <c r="D167" s="7">
        <f t="shared" ca="1" si="22"/>
        <v>13018</v>
      </c>
      <c r="I167" s="2">
        <f t="shared" si="20"/>
        <v>5</v>
      </c>
      <c r="J167" s="2">
        <f t="shared" si="21"/>
        <v>8</v>
      </c>
    </row>
    <row r="168" spans="1:10" x14ac:dyDescent="0.2">
      <c r="A168" s="5">
        <v>29805</v>
      </c>
      <c r="B168" s="2" t="s">
        <v>756</v>
      </c>
      <c r="C168" s="2" t="s">
        <v>425</v>
      </c>
      <c r="D168" s="7">
        <f t="shared" ca="1" si="22"/>
        <v>15938</v>
      </c>
      <c r="I168" s="2">
        <f t="shared" si="20"/>
        <v>7</v>
      </c>
      <c r="J168" s="2">
        <f t="shared" si="21"/>
        <v>8</v>
      </c>
    </row>
    <row r="169" spans="1:10" x14ac:dyDescent="0.2">
      <c r="A169" s="5">
        <v>23596</v>
      </c>
      <c r="B169" s="2" t="s">
        <v>427</v>
      </c>
      <c r="C169" s="2" t="s">
        <v>428</v>
      </c>
      <c r="D169" s="7">
        <f t="shared" ca="1" si="22"/>
        <v>22147</v>
      </c>
      <c r="I169" s="2">
        <f t="shared" si="20"/>
        <v>7</v>
      </c>
      <c r="J169" s="2">
        <f t="shared" si="21"/>
        <v>8</v>
      </c>
    </row>
    <row r="170" spans="1:10" x14ac:dyDescent="0.2">
      <c r="A170" s="5">
        <v>17386</v>
      </c>
      <c r="B170" s="2" t="s">
        <v>476</v>
      </c>
      <c r="C170" s="2" t="s">
        <v>478</v>
      </c>
      <c r="D170" s="7">
        <f t="shared" ca="1" si="22"/>
        <v>28357</v>
      </c>
      <c r="I170" s="2">
        <f t="shared" si="20"/>
        <v>7</v>
      </c>
      <c r="J170" s="2">
        <f t="shared" si="21"/>
        <v>8</v>
      </c>
    </row>
    <row r="171" spans="1:10" x14ac:dyDescent="0.2">
      <c r="A171" s="5">
        <v>34922</v>
      </c>
      <c r="B171" s="2" t="s">
        <v>1042</v>
      </c>
      <c r="C171" s="2" t="s">
        <v>573</v>
      </c>
      <c r="D171" s="7">
        <f t="shared" ca="1" si="22"/>
        <v>10821</v>
      </c>
      <c r="I171" s="2">
        <f t="shared" si="20"/>
        <v>11</v>
      </c>
      <c r="J171" s="2">
        <f t="shared" si="21"/>
        <v>8</v>
      </c>
    </row>
    <row r="172" spans="1:10" x14ac:dyDescent="0.2">
      <c r="A172" s="5">
        <v>32731</v>
      </c>
      <c r="B172" s="2" t="s">
        <v>773</v>
      </c>
      <c r="C172" s="2" t="s">
        <v>774</v>
      </c>
      <c r="D172" s="7">
        <f t="shared" ca="1" si="22"/>
        <v>13012</v>
      </c>
      <c r="I172" s="2">
        <f t="shared" si="20"/>
        <v>11</v>
      </c>
      <c r="J172" s="2">
        <f t="shared" si="21"/>
        <v>8</v>
      </c>
    </row>
    <row r="173" spans="1:10" x14ac:dyDescent="0.2">
      <c r="A173" s="5">
        <v>35654</v>
      </c>
      <c r="B173" s="2" t="s">
        <v>1140</v>
      </c>
      <c r="C173" s="2" t="s">
        <v>1148</v>
      </c>
      <c r="D173" s="7">
        <f t="shared" ca="1" si="22"/>
        <v>10089</v>
      </c>
      <c r="I173" s="2">
        <f t="shared" si="20"/>
        <v>12</v>
      </c>
      <c r="J173" s="2">
        <f t="shared" si="21"/>
        <v>8</v>
      </c>
    </row>
    <row r="174" spans="1:10" x14ac:dyDescent="0.2">
      <c r="A174" s="5">
        <v>35654</v>
      </c>
      <c r="B174" s="2" t="s">
        <v>1140</v>
      </c>
      <c r="C174" s="2" t="s">
        <v>1148</v>
      </c>
      <c r="D174" s="7">
        <f t="shared" ca="1" si="22"/>
        <v>10089</v>
      </c>
      <c r="I174" s="2">
        <f t="shared" si="20"/>
        <v>12</v>
      </c>
      <c r="J174" s="2">
        <f t="shared" si="21"/>
        <v>8</v>
      </c>
    </row>
    <row r="175" spans="1:10" x14ac:dyDescent="0.2">
      <c r="A175" s="5">
        <v>32002</v>
      </c>
      <c r="B175" s="2" t="s">
        <v>1019</v>
      </c>
      <c r="C175" s="2" t="s">
        <v>1066</v>
      </c>
      <c r="D175" s="7">
        <f t="shared" ca="1" si="22"/>
        <v>13741</v>
      </c>
      <c r="I175" s="2">
        <f t="shared" si="20"/>
        <v>13</v>
      </c>
      <c r="J175" s="2">
        <f t="shared" si="21"/>
        <v>8</v>
      </c>
    </row>
    <row r="176" spans="1:10" x14ac:dyDescent="0.2">
      <c r="A176" s="5">
        <v>25798</v>
      </c>
      <c r="B176" s="2" t="s">
        <v>571</v>
      </c>
      <c r="C176" s="2" t="s">
        <v>400</v>
      </c>
      <c r="D176" s="7">
        <f t="shared" ca="1" si="22"/>
        <v>19945</v>
      </c>
      <c r="I176" s="2">
        <f t="shared" si="20"/>
        <v>18</v>
      </c>
      <c r="J176" s="2">
        <f t="shared" si="21"/>
        <v>8</v>
      </c>
    </row>
    <row r="177" spans="1:10" x14ac:dyDescent="0.2">
      <c r="A177" s="5">
        <v>32739</v>
      </c>
      <c r="B177" s="2" t="s">
        <v>1136</v>
      </c>
      <c r="C177" s="2" t="s">
        <v>420</v>
      </c>
      <c r="D177" s="7">
        <f t="shared" ca="1" si="22"/>
        <v>13004</v>
      </c>
      <c r="I177" s="2">
        <f t="shared" si="20"/>
        <v>19</v>
      </c>
      <c r="J177" s="2">
        <f t="shared" si="21"/>
        <v>8</v>
      </c>
    </row>
    <row r="178" spans="1:10" x14ac:dyDescent="0.2">
      <c r="A178" s="5">
        <v>16669</v>
      </c>
      <c r="B178" s="2" t="s">
        <v>604</v>
      </c>
      <c r="C178" s="2" t="s">
        <v>605</v>
      </c>
      <c r="D178" s="7">
        <f t="shared" ca="1" si="22"/>
        <v>29074</v>
      </c>
      <c r="I178" s="2">
        <f t="shared" si="20"/>
        <v>20</v>
      </c>
      <c r="J178" s="2">
        <f t="shared" si="21"/>
        <v>8</v>
      </c>
    </row>
    <row r="179" spans="1:10" x14ac:dyDescent="0.2">
      <c r="A179" s="5">
        <v>34936</v>
      </c>
      <c r="B179" s="2" t="s">
        <v>1139</v>
      </c>
      <c r="D179" s="7">
        <f t="shared" ca="1" si="22"/>
        <v>10807</v>
      </c>
      <c r="I179" s="2">
        <f t="shared" si="20"/>
        <v>25</v>
      </c>
      <c r="J179" s="2">
        <f t="shared" si="21"/>
        <v>8</v>
      </c>
    </row>
    <row r="180" spans="1:10" x14ac:dyDescent="0.2">
      <c r="A180" s="5">
        <v>28364</v>
      </c>
      <c r="B180" s="2" t="s">
        <v>808</v>
      </c>
      <c r="C180" s="2" t="s">
        <v>809</v>
      </c>
      <c r="D180" s="7">
        <f t="shared" ca="1" si="22"/>
        <v>17379</v>
      </c>
      <c r="I180" s="2">
        <f t="shared" si="20"/>
        <v>27</v>
      </c>
      <c r="J180" s="2">
        <f t="shared" si="21"/>
        <v>8</v>
      </c>
    </row>
    <row r="181" spans="1:10" x14ac:dyDescent="0.2">
      <c r="A181" s="5">
        <v>31652</v>
      </c>
      <c r="B181" s="2" t="s">
        <v>848</v>
      </c>
      <c r="C181" s="2" t="s">
        <v>752</v>
      </c>
      <c r="D181" s="7">
        <f t="shared" ca="1" si="22"/>
        <v>14091</v>
      </c>
      <c r="I181" s="2">
        <f t="shared" si="20"/>
        <v>28</v>
      </c>
      <c r="J181" s="2">
        <f t="shared" si="21"/>
        <v>8</v>
      </c>
    </row>
    <row r="182" spans="1:10" x14ac:dyDescent="0.2">
      <c r="A182" s="5">
        <v>3895</v>
      </c>
      <c r="B182" s="2" t="s">
        <v>621</v>
      </c>
      <c r="C182" s="2" t="s">
        <v>622</v>
      </c>
      <c r="D182" s="13" t="str">
        <f ca="1">"1"&amp;TEXT((TODAY()-A182),"yy:mm:dd")</f>
        <v>114:07:28</v>
      </c>
      <c r="E182" s="10" t="s">
        <v>623</v>
      </c>
      <c r="F182" s="11">
        <f>"30/06/1987"-A182</f>
        <v>28063</v>
      </c>
      <c r="I182" s="2">
        <f t="shared" si="20"/>
        <v>30</v>
      </c>
      <c r="J182" s="2">
        <f t="shared" si="21"/>
        <v>8</v>
      </c>
    </row>
    <row r="183" spans="1:10" x14ac:dyDescent="0.2">
      <c r="A183" s="5">
        <v>34577</v>
      </c>
      <c r="B183" s="2" t="s">
        <v>1138</v>
      </c>
      <c r="C183" s="2" t="s">
        <v>564</v>
      </c>
      <c r="D183" s="7">
        <f t="shared" ref="D183:D203" ca="1" si="23">TODAY()-A183</f>
        <v>11166</v>
      </c>
      <c r="I183" s="2">
        <f t="shared" si="20"/>
        <v>31</v>
      </c>
      <c r="J183" s="2">
        <f t="shared" si="21"/>
        <v>8</v>
      </c>
    </row>
    <row r="184" spans="1:10" x14ac:dyDescent="0.2">
      <c r="A184" s="5">
        <v>25449</v>
      </c>
      <c r="B184" s="2" t="s">
        <v>407</v>
      </c>
      <c r="C184" s="2" t="s">
        <v>420</v>
      </c>
      <c r="D184" s="7">
        <f t="shared" ca="1" si="23"/>
        <v>20294</v>
      </c>
      <c r="I184" s="2">
        <f t="shared" si="20"/>
        <v>3</v>
      </c>
      <c r="J184" s="2">
        <f t="shared" si="21"/>
        <v>9</v>
      </c>
    </row>
    <row r="185" spans="1:10" x14ac:dyDescent="0.2">
      <c r="A185" s="5">
        <v>31658</v>
      </c>
      <c r="B185" s="2" t="s">
        <v>829</v>
      </c>
      <c r="C185" s="2" t="s">
        <v>501</v>
      </c>
      <c r="D185" s="7">
        <f t="shared" ca="1" si="23"/>
        <v>14085</v>
      </c>
      <c r="I185" s="2">
        <f t="shared" si="20"/>
        <v>3</v>
      </c>
      <c r="J185" s="2">
        <f t="shared" si="21"/>
        <v>9</v>
      </c>
    </row>
    <row r="186" spans="1:10" x14ac:dyDescent="0.2">
      <c r="A186" s="5">
        <v>15955</v>
      </c>
      <c r="B186" s="2" t="s">
        <v>688</v>
      </c>
      <c r="C186" s="2" t="s">
        <v>633</v>
      </c>
      <c r="D186" s="7">
        <f t="shared" ca="1" si="23"/>
        <v>29788</v>
      </c>
      <c r="G186" s="2" t="s">
        <v>148</v>
      </c>
      <c r="I186" s="2">
        <f t="shared" ref="I186:I209" si="24">DAY(A186)</f>
        <v>6</v>
      </c>
      <c r="J186" s="2">
        <f t="shared" ref="J186:J209" si="25">MONTH(A186)</f>
        <v>9</v>
      </c>
    </row>
    <row r="187" spans="1:10" x14ac:dyDescent="0.2">
      <c r="A187" s="5">
        <v>31298</v>
      </c>
      <c r="B187" s="2" t="s">
        <v>815</v>
      </c>
      <c r="C187" s="2" t="s">
        <v>814</v>
      </c>
      <c r="D187" s="7">
        <f t="shared" ca="1" si="23"/>
        <v>14445</v>
      </c>
      <c r="I187" s="2">
        <f t="shared" si="24"/>
        <v>8</v>
      </c>
      <c r="J187" s="2">
        <f t="shared" si="25"/>
        <v>9</v>
      </c>
    </row>
    <row r="188" spans="1:10" x14ac:dyDescent="0.2">
      <c r="A188" s="5">
        <v>31301</v>
      </c>
      <c r="B188" s="2" t="s">
        <v>831</v>
      </c>
      <c r="C188" s="2" t="s">
        <v>830</v>
      </c>
      <c r="D188" s="7">
        <f t="shared" ca="1" si="23"/>
        <v>14442</v>
      </c>
      <c r="I188" s="2">
        <f t="shared" si="24"/>
        <v>11</v>
      </c>
      <c r="J188" s="2">
        <f t="shared" si="25"/>
        <v>9</v>
      </c>
    </row>
    <row r="189" spans="1:10" x14ac:dyDescent="0.2">
      <c r="A189" s="5">
        <v>31301</v>
      </c>
      <c r="B189" s="2" t="s">
        <v>779</v>
      </c>
      <c r="C189" s="2" t="s">
        <v>1074</v>
      </c>
      <c r="D189" s="7">
        <f t="shared" ca="1" si="23"/>
        <v>14442</v>
      </c>
      <c r="I189" s="2">
        <f t="shared" si="24"/>
        <v>11</v>
      </c>
      <c r="J189" s="2">
        <f t="shared" si="25"/>
        <v>9</v>
      </c>
    </row>
    <row r="190" spans="1:10" x14ac:dyDescent="0.2">
      <c r="A190" s="5">
        <v>35319</v>
      </c>
      <c r="B190" s="2" t="s">
        <v>1132</v>
      </c>
      <c r="C190" s="2" t="s">
        <v>394</v>
      </c>
      <c r="D190" s="7">
        <f t="shared" ca="1" si="23"/>
        <v>10424</v>
      </c>
      <c r="I190" s="2">
        <f t="shared" si="24"/>
        <v>11</v>
      </c>
      <c r="J190" s="2">
        <f t="shared" si="25"/>
        <v>9</v>
      </c>
    </row>
    <row r="191" spans="1:10" x14ac:dyDescent="0.2">
      <c r="A191" s="5">
        <v>33859</v>
      </c>
      <c r="B191" s="2" t="s">
        <v>1131</v>
      </c>
      <c r="C191" s="2" t="s">
        <v>378</v>
      </c>
      <c r="D191" s="7">
        <f t="shared" ca="1" si="23"/>
        <v>11884</v>
      </c>
      <c r="I191" s="2">
        <f t="shared" si="24"/>
        <v>12</v>
      </c>
      <c r="J191" s="2">
        <f t="shared" si="25"/>
        <v>9</v>
      </c>
    </row>
    <row r="192" spans="1:10" x14ac:dyDescent="0.2">
      <c r="A192" s="5">
        <v>31303</v>
      </c>
      <c r="B192" s="2" t="s">
        <v>858</v>
      </c>
      <c r="C192" s="2" t="s">
        <v>425</v>
      </c>
      <c r="D192" s="7">
        <f t="shared" ca="1" si="23"/>
        <v>14440</v>
      </c>
      <c r="I192" s="2">
        <f t="shared" si="24"/>
        <v>13</v>
      </c>
      <c r="J192" s="2">
        <f t="shared" si="25"/>
        <v>9</v>
      </c>
    </row>
    <row r="193" spans="1:10" x14ac:dyDescent="0.2">
      <c r="A193" s="5">
        <v>14139</v>
      </c>
      <c r="B193" s="2" t="s">
        <v>409</v>
      </c>
      <c r="C193" s="2" t="s">
        <v>422</v>
      </c>
      <c r="D193" s="7">
        <f t="shared" ca="1" si="23"/>
        <v>31604</v>
      </c>
      <c r="I193" s="2">
        <f t="shared" si="24"/>
        <v>16</v>
      </c>
      <c r="J193" s="2">
        <f t="shared" si="25"/>
        <v>9</v>
      </c>
    </row>
    <row r="194" spans="1:10" x14ac:dyDescent="0.2">
      <c r="A194" s="5">
        <v>28384</v>
      </c>
      <c r="B194" s="2" t="s">
        <v>793</v>
      </c>
      <c r="C194" s="2" t="s">
        <v>794</v>
      </c>
      <c r="D194" s="7">
        <f t="shared" ca="1" si="23"/>
        <v>17359</v>
      </c>
      <c r="I194" s="2">
        <f t="shared" si="24"/>
        <v>16</v>
      </c>
      <c r="J194" s="2">
        <f t="shared" si="25"/>
        <v>9</v>
      </c>
    </row>
    <row r="195" spans="1:10" x14ac:dyDescent="0.2">
      <c r="A195" s="5">
        <v>31672</v>
      </c>
      <c r="B195" s="2" t="s">
        <v>810</v>
      </c>
      <c r="C195" s="2" t="s">
        <v>1058</v>
      </c>
      <c r="D195" s="7">
        <f t="shared" ca="1" si="23"/>
        <v>14071</v>
      </c>
      <c r="I195" s="2">
        <f t="shared" si="24"/>
        <v>17</v>
      </c>
      <c r="J195" s="2">
        <f t="shared" si="25"/>
        <v>9</v>
      </c>
    </row>
    <row r="196" spans="1:10" x14ac:dyDescent="0.2">
      <c r="A196" s="5">
        <v>30213</v>
      </c>
      <c r="B196" s="2" t="s">
        <v>850</v>
      </c>
      <c r="C196" s="2" t="s">
        <v>615</v>
      </c>
      <c r="D196" s="7">
        <f t="shared" ca="1" si="23"/>
        <v>15530</v>
      </c>
      <c r="I196" s="2">
        <f t="shared" si="24"/>
        <v>19</v>
      </c>
      <c r="J196" s="2">
        <f t="shared" si="25"/>
        <v>9</v>
      </c>
    </row>
    <row r="197" spans="1:10" x14ac:dyDescent="0.2">
      <c r="A197" s="5">
        <v>19256</v>
      </c>
      <c r="B197" s="2" t="s">
        <v>611</v>
      </c>
      <c r="C197" s="2" t="s">
        <v>612</v>
      </c>
      <c r="D197" s="7">
        <f t="shared" ca="1" si="23"/>
        <v>26487</v>
      </c>
      <c r="I197" s="2">
        <f t="shared" si="24"/>
        <v>19</v>
      </c>
      <c r="J197" s="2">
        <f t="shared" si="25"/>
        <v>9</v>
      </c>
    </row>
    <row r="198" spans="1:10" x14ac:dyDescent="0.2">
      <c r="A198" s="5">
        <v>28388</v>
      </c>
      <c r="B198" s="2" t="s">
        <v>477</v>
      </c>
      <c r="C198" s="2" t="s">
        <v>479</v>
      </c>
      <c r="D198" s="7">
        <f t="shared" ca="1" si="23"/>
        <v>17355</v>
      </c>
      <c r="I198" s="2">
        <f t="shared" si="24"/>
        <v>20</v>
      </c>
      <c r="J198" s="2">
        <f t="shared" si="25"/>
        <v>9</v>
      </c>
    </row>
    <row r="199" spans="1:10" x14ac:dyDescent="0.2">
      <c r="A199" s="5">
        <v>31310</v>
      </c>
      <c r="B199" s="2" t="s">
        <v>859</v>
      </c>
      <c r="C199" s="2" t="s">
        <v>471</v>
      </c>
      <c r="D199" s="7">
        <f t="shared" ca="1" si="23"/>
        <v>14433</v>
      </c>
      <c r="I199" s="2">
        <f t="shared" si="24"/>
        <v>20</v>
      </c>
      <c r="J199" s="2">
        <f t="shared" si="25"/>
        <v>9</v>
      </c>
    </row>
    <row r="200" spans="1:10" x14ac:dyDescent="0.2">
      <c r="A200" s="5">
        <v>28754</v>
      </c>
      <c r="B200" s="2" t="s">
        <v>857</v>
      </c>
      <c r="C200" s="2" t="s">
        <v>695</v>
      </c>
      <c r="D200" s="7">
        <f t="shared" ca="1" si="23"/>
        <v>16989</v>
      </c>
      <c r="I200" s="2">
        <f t="shared" si="24"/>
        <v>21</v>
      </c>
      <c r="J200" s="2">
        <f t="shared" si="25"/>
        <v>9</v>
      </c>
    </row>
    <row r="201" spans="1:10" x14ac:dyDescent="0.2">
      <c r="A201" s="5">
        <v>32042</v>
      </c>
      <c r="B201" s="2" t="s">
        <v>785</v>
      </c>
      <c r="C201" s="2" t="s">
        <v>1057</v>
      </c>
      <c r="D201" s="7">
        <f t="shared" ca="1" si="23"/>
        <v>13701</v>
      </c>
      <c r="I201" s="2">
        <f t="shared" si="24"/>
        <v>22</v>
      </c>
      <c r="J201" s="2">
        <f t="shared" si="25"/>
        <v>9</v>
      </c>
    </row>
    <row r="202" spans="1:10" x14ac:dyDescent="0.2">
      <c r="A202" s="5">
        <v>32409</v>
      </c>
      <c r="B202" s="2" t="s">
        <v>1128</v>
      </c>
      <c r="C202" s="2" t="s">
        <v>612</v>
      </c>
      <c r="D202" s="7">
        <f t="shared" ca="1" si="23"/>
        <v>13334</v>
      </c>
      <c r="I202" s="2">
        <f t="shared" si="24"/>
        <v>23</v>
      </c>
      <c r="J202" s="2">
        <f t="shared" si="25"/>
        <v>9</v>
      </c>
    </row>
    <row r="203" spans="1:10" x14ac:dyDescent="0.2">
      <c r="A203" s="5">
        <v>14148</v>
      </c>
      <c r="B203" s="2" t="s">
        <v>538</v>
      </c>
      <c r="C203" s="2" t="s">
        <v>525</v>
      </c>
      <c r="D203" s="7">
        <f t="shared" ca="1" si="23"/>
        <v>31595</v>
      </c>
      <c r="I203" s="2">
        <f t="shared" si="24"/>
        <v>25</v>
      </c>
      <c r="J203" s="2">
        <f t="shared" si="25"/>
        <v>9</v>
      </c>
    </row>
    <row r="204" spans="1:10" x14ac:dyDescent="0.2">
      <c r="A204" s="5">
        <v>7939</v>
      </c>
      <c r="B204" s="2" t="s">
        <v>591</v>
      </c>
      <c r="C204" s="2" t="s">
        <v>387</v>
      </c>
      <c r="D204" s="13" t="str">
        <f ca="1">"1"&amp;TEXT((TODAY()-"25/09/1921"),"yy:mm:dd")</f>
        <v>103:07:02</v>
      </c>
      <c r="E204" s="10" t="s">
        <v>1178</v>
      </c>
      <c r="F204" s="17" t="str">
        <f>"1"&amp;TEXT(("02/11/2021"-"25/09/1921"),"yy:mm")</f>
        <v>100:02</v>
      </c>
      <c r="I204" s="2">
        <f t="shared" si="24"/>
        <v>25</v>
      </c>
      <c r="J204" s="2">
        <f t="shared" si="25"/>
        <v>9</v>
      </c>
    </row>
    <row r="205" spans="1:10" x14ac:dyDescent="0.2">
      <c r="A205" s="5">
        <v>4653</v>
      </c>
      <c r="B205" s="2" t="s">
        <v>673</v>
      </c>
      <c r="C205" s="2" t="s">
        <v>525</v>
      </c>
      <c r="D205" s="13" t="str">
        <f ca="1">"1"&amp;TEXT((TODAY()-A205),"yy:mm:dd")</f>
        <v>112:06:30</v>
      </c>
      <c r="E205" s="10" t="s">
        <v>674</v>
      </c>
      <c r="F205" s="11">
        <f>"15/01/1968"-A205</f>
        <v>20199</v>
      </c>
      <c r="G205" s="2" t="s">
        <v>148</v>
      </c>
      <c r="I205" s="2">
        <f t="shared" si="24"/>
        <v>26</v>
      </c>
      <c r="J205" s="2">
        <f t="shared" si="25"/>
        <v>9</v>
      </c>
    </row>
    <row r="206" spans="1:10" x14ac:dyDescent="0.2">
      <c r="A206" s="5">
        <v>28760</v>
      </c>
      <c r="B206" s="2" t="s">
        <v>826</v>
      </c>
      <c r="C206" s="2" t="s">
        <v>519</v>
      </c>
      <c r="D206" s="7">
        <f ca="1">TODAY()-A206</f>
        <v>16983</v>
      </c>
      <c r="I206" s="2">
        <f t="shared" si="24"/>
        <v>27</v>
      </c>
      <c r="J206" s="2">
        <f t="shared" si="25"/>
        <v>9</v>
      </c>
    </row>
    <row r="207" spans="1:10" x14ac:dyDescent="0.2">
      <c r="A207" s="5">
        <v>34604</v>
      </c>
      <c r="B207" s="2" t="s">
        <v>1462</v>
      </c>
      <c r="C207" s="2" t="s">
        <v>1472</v>
      </c>
      <c r="D207" s="7">
        <f ca="1">TODAY()-A207</f>
        <v>11139</v>
      </c>
      <c r="I207" s="2">
        <f t="shared" si="24"/>
        <v>27</v>
      </c>
      <c r="J207" s="2">
        <f t="shared" si="25"/>
        <v>9</v>
      </c>
    </row>
    <row r="208" spans="1:10" x14ac:dyDescent="0.2">
      <c r="A208" s="5">
        <v>31318</v>
      </c>
      <c r="B208" s="2" t="s">
        <v>863</v>
      </c>
      <c r="C208" s="2" t="s">
        <v>378</v>
      </c>
      <c r="D208" s="7">
        <f ca="1">TODAY()-A208</f>
        <v>14425</v>
      </c>
      <c r="I208" s="2">
        <f t="shared" si="24"/>
        <v>28</v>
      </c>
      <c r="J208" s="2">
        <f t="shared" si="25"/>
        <v>9</v>
      </c>
    </row>
    <row r="209" spans="1:10" x14ac:dyDescent="0.2">
      <c r="A209" s="5">
        <v>30224</v>
      </c>
      <c r="B209" s="2" t="s">
        <v>777</v>
      </c>
      <c r="C209" s="2" t="s">
        <v>400</v>
      </c>
      <c r="D209" s="7">
        <f ca="1">TODAY()-A209</f>
        <v>15519</v>
      </c>
      <c r="I209" s="2">
        <f t="shared" si="24"/>
        <v>30</v>
      </c>
      <c r="J209" s="2">
        <f t="shared" si="25"/>
        <v>9</v>
      </c>
    </row>
    <row r="210" spans="1:10" x14ac:dyDescent="0.2">
      <c r="A210" s="5" t="s">
        <v>663</v>
      </c>
      <c r="B210" s="2" t="s">
        <v>662</v>
      </c>
      <c r="C210" s="2" t="s">
        <v>619</v>
      </c>
      <c r="D210" s="13" t="str">
        <f ca="1">"1"&amp;TEXT((TODAY()-"30/09/1999"),"yy:mm:dd")</f>
        <v>125:06:27</v>
      </c>
      <c r="E210" s="10" t="s">
        <v>664</v>
      </c>
      <c r="F210" s="14" t="s">
        <v>665</v>
      </c>
      <c r="G210" s="2" t="s">
        <v>148</v>
      </c>
      <c r="I210" s="2">
        <v>30</v>
      </c>
      <c r="J210" s="2">
        <v>9</v>
      </c>
    </row>
    <row r="211" spans="1:10" x14ac:dyDescent="0.2">
      <c r="A211" s="5">
        <v>35703</v>
      </c>
      <c r="B211" s="2" t="s">
        <v>1466</v>
      </c>
      <c r="C211" s="2" t="s">
        <v>1473</v>
      </c>
      <c r="D211" s="7">
        <f t="shared" ref="D211:D218" ca="1" si="26">TODAY()-A211</f>
        <v>10040</v>
      </c>
      <c r="I211" s="2">
        <f t="shared" ref="I211:I242" si="27">DAY(A211)</f>
        <v>30</v>
      </c>
      <c r="J211" s="2">
        <f t="shared" ref="J211:J242" si="28">MONTH(A211)</f>
        <v>9</v>
      </c>
    </row>
    <row r="212" spans="1:10" x14ac:dyDescent="0.2">
      <c r="A212" s="5">
        <v>28764</v>
      </c>
      <c r="B212" s="2" t="s">
        <v>508</v>
      </c>
      <c r="C212" s="2" t="s">
        <v>503</v>
      </c>
      <c r="D212" s="7">
        <f t="shared" ca="1" si="26"/>
        <v>16979</v>
      </c>
      <c r="E212" s="15"/>
      <c r="F212" s="12"/>
      <c r="I212" s="2">
        <f t="shared" si="27"/>
        <v>1</v>
      </c>
      <c r="J212" s="2">
        <f t="shared" si="28"/>
        <v>10</v>
      </c>
    </row>
    <row r="213" spans="1:10" x14ac:dyDescent="0.2">
      <c r="A213" s="5">
        <v>31321</v>
      </c>
      <c r="B213" s="2" t="s">
        <v>768</v>
      </c>
      <c r="C213" s="2" t="s">
        <v>499</v>
      </c>
      <c r="D213" s="7">
        <f t="shared" ca="1" si="26"/>
        <v>14422</v>
      </c>
      <c r="I213" s="2">
        <f t="shared" si="27"/>
        <v>1</v>
      </c>
      <c r="J213" s="2">
        <f t="shared" si="28"/>
        <v>10</v>
      </c>
    </row>
    <row r="214" spans="1:10" x14ac:dyDescent="0.2">
      <c r="A214" s="5">
        <v>25477</v>
      </c>
      <c r="B214" s="2" t="s">
        <v>640</v>
      </c>
      <c r="C214" s="2" t="s">
        <v>387</v>
      </c>
      <c r="D214" s="7">
        <f t="shared" ca="1" si="26"/>
        <v>20266</v>
      </c>
      <c r="I214" s="2">
        <f t="shared" si="27"/>
        <v>1</v>
      </c>
      <c r="J214" s="2">
        <f t="shared" si="28"/>
        <v>10</v>
      </c>
    </row>
    <row r="215" spans="1:10" x14ac:dyDescent="0.2">
      <c r="A215" s="5">
        <v>32418</v>
      </c>
      <c r="B215" s="2" t="s">
        <v>1048</v>
      </c>
      <c r="C215" s="2" t="s">
        <v>1049</v>
      </c>
      <c r="D215" s="7">
        <f t="shared" ca="1" si="26"/>
        <v>13325</v>
      </c>
      <c r="I215" s="2">
        <f t="shared" si="27"/>
        <v>2</v>
      </c>
      <c r="J215" s="2">
        <f t="shared" si="28"/>
        <v>10</v>
      </c>
    </row>
    <row r="216" spans="1:10" x14ac:dyDescent="0.2">
      <c r="A216" s="5">
        <v>25113</v>
      </c>
      <c r="B216" s="2" t="s">
        <v>800</v>
      </c>
      <c r="C216" s="2" t="s">
        <v>862</v>
      </c>
      <c r="D216" s="7">
        <f t="shared" ca="1" si="26"/>
        <v>20630</v>
      </c>
      <c r="I216" s="2">
        <f t="shared" si="27"/>
        <v>2</v>
      </c>
      <c r="J216" s="2">
        <f t="shared" si="28"/>
        <v>10</v>
      </c>
    </row>
    <row r="217" spans="1:10" x14ac:dyDescent="0.2">
      <c r="A217" s="5">
        <v>23286</v>
      </c>
      <c r="B217" s="2" t="s">
        <v>694</v>
      </c>
      <c r="C217" s="2" t="s">
        <v>695</v>
      </c>
      <c r="D217" s="7">
        <f t="shared" ca="1" si="26"/>
        <v>22457</v>
      </c>
      <c r="G217" s="2" t="s">
        <v>148</v>
      </c>
      <c r="I217" s="2">
        <f t="shared" si="27"/>
        <v>2</v>
      </c>
      <c r="J217" s="2">
        <f t="shared" si="28"/>
        <v>10</v>
      </c>
    </row>
    <row r="218" spans="1:10" x14ac:dyDescent="0.2">
      <c r="A218" s="5">
        <v>34977</v>
      </c>
      <c r="B218" s="2" t="s">
        <v>1043</v>
      </c>
      <c r="C218" s="2" t="s">
        <v>580</v>
      </c>
      <c r="D218" s="7">
        <f t="shared" ca="1" si="26"/>
        <v>10766</v>
      </c>
      <c r="I218" s="2">
        <f t="shared" si="27"/>
        <v>5</v>
      </c>
      <c r="J218" s="2">
        <f t="shared" si="28"/>
        <v>10</v>
      </c>
    </row>
    <row r="219" spans="1:10" x14ac:dyDescent="0.2">
      <c r="A219" s="5">
        <v>5757</v>
      </c>
      <c r="B219" s="2" t="s">
        <v>459</v>
      </c>
      <c r="C219" s="2" t="s">
        <v>389</v>
      </c>
      <c r="D219" s="13" t="str">
        <f ca="1">"1"&amp;TEXT((TODAY()-A219),"yy:mm:dd")</f>
        <v>109:06:22</v>
      </c>
      <c r="E219" s="10" t="s">
        <v>462</v>
      </c>
      <c r="F219" s="11">
        <f>"15/02/1995"-A219</f>
        <v>28988</v>
      </c>
      <c r="I219" s="2">
        <f t="shared" si="27"/>
        <v>5</v>
      </c>
      <c r="J219" s="2">
        <f t="shared" si="28"/>
        <v>10</v>
      </c>
    </row>
    <row r="220" spans="1:10" x14ac:dyDescent="0.2">
      <c r="A220" s="5">
        <v>30961</v>
      </c>
      <c r="B220" s="2" t="s">
        <v>833</v>
      </c>
      <c r="C220" s="2" t="s">
        <v>832</v>
      </c>
      <c r="D220" s="7">
        <f t="shared" ref="D220:D229" ca="1" si="29">TODAY()-A220</f>
        <v>14782</v>
      </c>
      <c r="I220" s="2">
        <f t="shared" si="27"/>
        <v>6</v>
      </c>
      <c r="J220" s="2">
        <f t="shared" si="28"/>
        <v>10</v>
      </c>
    </row>
    <row r="221" spans="1:10" x14ac:dyDescent="0.2">
      <c r="A221" s="5">
        <v>36439</v>
      </c>
      <c r="B221" s="2" t="s">
        <v>1458</v>
      </c>
      <c r="C221" s="2" t="s">
        <v>397</v>
      </c>
      <c r="D221" s="7">
        <f t="shared" ca="1" si="29"/>
        <v>9304</v>
      </c>
      <c r="I221" s="2">
        <f t="shared" si="27"/>
        <v>6</v>
      </c>
      <c r="J221" s="2">
        <f t="shared" si="28"/>
        <v>10</v>
      </c>
    </row>
    <row r="222" spans="1:10" x14ac:dyDescent="0.2">
      <c r="A222" s="5">
        <v>25851</v>
      </c>
      <c r="B222" s="2" t="s">
        <v>565</v>
      </c>
      <c r="C222" s="2" t="s">
        <v>566</v>
      </c>
      <c r="D222" s="7">
        <f t="shared" ca="1" si="29"/>
        <v>19892</v>
      </c>
      <c r="I222" s="2">
        <f t="shared" si="27"/>
        <v>10</v>
      </c>
      <c r="J222" s="2">
        <f t="shared" si="28"/>
        <v>10</v>
      </c>
    </row>
    <row r="223" spans="1:10" x14ac:dyDescent="0.2">
      <c r="A223" s="5">
        <v>10878</v>
      </c>
      <c r="B223" s="2" t="s">
        <v>532</v>
      </c>
      <c r="C223" s="2" t="s">
        <v>400</v>
      </c>
      <c r="D223" s="7">
        <f t="shared" ca="1" si="29"/>
        <v>34865</v>
      </c>
      <c r="I223" s="2">
        <f t="shared" si="27"/>
        <v>12</v>
      </c>
      <c r="J223" s="2">
        <f t="shared" si="28"/>
        <v>10</v>
      </c>
    </row>
    <row r="224" spans="1:10" x14ac:dyDescent="0.2">
      <c r="A224" s="5">
        <v>29507</v>
      </c>
      <c r="B224" s="2" t="s">
        <v>843</v>
      </c>
      <c r="C224" s="2" t="s">
        <v>525</v>
      </c>
      <c r="D224" s="7">
        <f t="shared" ca="1" si="29"/>
        <v>16236</v>
      </c>
      <c r="I224" s="2">
        <f t="shared" si="27"/>
        <v>13</v>
      </c>
      <c r="J224" s="2">
        <f t="shared" si="28"/>
        <v>10</v>
      </c>
    </row>
    <row r="225" spans="1:10" x14ac:dyDescent="0.2">
      <c r="A225" s="5">
        <v>24028</v>
      </c>
      <c r="B225" s="2" t="s">
        <v>606</v>
      </c>
      <c r="C225" s="2" t="s">
        <v>607</v>
      </c>
      <c r="D225" s="7">
        <f t="shared" ca="1" si="29"/>
        <v>21715</v>
      </c>
      <c r="I225" s="2">
        <f t="shared" si="27"/>
        <v>13</v>
      </c>
      <c r="J225" s="2">
        <f t="shared" si="28"/>
        <v>10</v>
      </c>
    </row>
    <row r="226" spans="1:10" x14ac:dyDescent="0.2">
      <c r="A226" s="5">
        <v>9418</v>
      </c>
      <c r="B226" s="2" t="s">
        <v>617</v>
      </c>
      <c r="C226" s="2" t="s">
        <v>566</v>
      </c>
      <c r="D226" s="7">
        <f t="shared" ca="1" si="29"/>
        <v>36325</v>
      </c>
      <c r="I226" s="2">
        <f t="shared" si="27"/>
        <v>13</v>
      </c>
      <c r="J226" s="2">
        <f t="shared" si="28"/>
        <v>10</v>
      </c>
    </row>
    <row r="227" spans="1:10" x14ac:dyDescent="0.2">
      <c r="A227" s="5">
        <v>31333</v>
      </c>
      <c r="B227" s="2" t="s">
        <v>861</v>
      </c>
      <c r="C227" s="2" t="s">
        <v>862</v>
      </c>
      <c r="D227" s="7">
        <f t="shared" ca="1" si="29"/>
        <v>14410</v>
      </c>
      <c r="I227" s="2">
        <f t="shared" si="27"/>
        <v>13</v>
      </c>
      <c r="J227" s="2">
        <f t="shared" si="28"/>
        <v>10</v>
      </c>
    </row>
    <row r="228" spans="1:10" x14ac:dyDescent="0.2">
      <c r="A228" s="5">
        <v>25855</v>
      </c>
      <c r="B228" s="2" t="s">
        <v>509</v>
      </c>
      <c r="C228" s="2" t="s">
        <v>502</v>
      </c>
      <c r="D228" s="7">
        <f t="shared" ca="1" si="29"/>
        <v>19888</v>
      </c>
      <c r="E228" s="15"/>
      <c r="F228" s="12"/>
      <c r="I228" s="2">
        <f t="shared" si="27"/>
        <v>14</v>
      </c>
      <c r="J228" s="2">
        <f t="shared" si="28"/>
        <v>10</v>
      </c>
    </row>
    <row r="229" spans="1:10" x14ac:dyDescent="0.2">
      <c r="A229" s="5">
        <v>30243</v>
      </c>
      <c r="B229" s="2" t="s">
        <v>754</v>
      </c>
      <c r="C229" s="2" t="s">
        <v>755</v>
      </c>
      <c r="D229" s="7">
        <f t="shared" ca="1" si="29"/>
        <v>15500</v>
      </c>
      <c r="I229" s="2">
        <f t="shared" si="27"/>
        <v>19</v>
      </c>
      <c r="J229" s="2">
        <f t="shared" si="28"/>
        <v>10</v>
      </c>
    </row>
    <row r="230" spans="1:10" x14ac:dyDescent="0.2">
      <c r="A230" s="5">
        <v>658</v>
      </c>
      <c r="B230" s="2" t="s">
        <v>556</v>
      </c>
      <c r="C230" s="2" t="s">
        <v>557</v>
      </c>
      <c r="D230" s="13" t="str">
        <f ca="1">"1"&amp;TEXT((TODAY()-A230),"yy:mm:dd")</f>
        <v>123:06:08</v>
      </c>
      <c r="E230" s="10" t="s">
        <v>558</v>
      </c>
      <c r="F230" s="11">
        <f>"30/06/1975"-A230</f>
        <v>26917</v>
      </c>
      <c r="I230" s="2">
        <f t="shared" si="27"/>
        <v>19</v>
      </c>
      <c r="J230" s="2">
        <f t="shared" si="28"/>
        <v>10</v>
      </c>
    </row>
    <row r="231" spans="1:10" x14ac:dyDescent="0.2">
      <c r="A231" s="5">
        <v>6505</v>
      </c>
      <c r="B231" s="2" t="s">
        <v>405</v>
      </c>
      <c r="C231" s="2" t="s">
        <v>416</v>
      </c>
      <c r="D231" s="13" t="str">
        <f ca="1">"1"&amp;TEXT((TODAY()-A231),"yy:mm:dd")</f>
        <v>107:06:05</v>
      </c>
      <c r="E231" s="10" t="s">
        <v>417</v>
      </c>
      <c r="F231" s="11">
        <f>"30/06/1981"-A231</f>
        <v>23262</v>
      </c>
      <c r="I231" s="2">
        <f t="shared" si="27"/>
        <v>22</v>
      </c>
      <c r="J231" s="2">
        <f t="shared" si="28"/>
        <v>10</v>
      </c>
    </row>
    <row r="232" spans="1:10" x14ac:dyDescent="0.2">
      <c r="A232" s="5">
        <v>18195</v>
      </c>
      <c r="B232" s="2" t="s">
        <v>563</v>
      </c>
      <c r="C232" s="2" t="s">
        <v>564</v>
      </c>
      <c r="D232" s="7">
        <f ca="1">TODAY()-A232</f>
        <v>27548</v>
      </c>
      <c r="I232" s="2">
        <f t="shared" si="27"/>
        <v>24</v>
      </c>
      <c r="J232" s="2">
        <f t="shared" si="28"/>
        <v>10</v>
      </c>
    </row>
    <row r="233" spans="1:10" x14ac:dyDescent="0.2">
      <c r="A233" s="5">
        <v>2854</v>
      </c>
      <c r="B233" s="2" t="s">
        <v>452</v>
      </c>
      <c r="C233" s="2" t="s">
        <v>453</v>
      </c>
      <c r="D233" s="13" t="str">
        <f ca="1">"1"&amp;TEXT((TODAY()-A233),"yy:mm:dd")</f>
        <v>117:06:03</v>
      </c>
      <c r="E233" s="10" t="s">
        <v>454</v>
      </c>
      <c r="F233" s="11">
        <f>"30/06/1979"-A233</f>
        <v>26182</v>
      </c>
      <c r="I233" s="2">
        <f t="shared" si="27"/>
        <v>24</v>
      </c>
      <c r="J233" s="2">
        <f t="shared" si="28"/>
        <v>10</v>
      </c>
    </row>
    <row r="234" spans="1:10" x14ac:dyDescent="0.2">
      <c r="A234" s="5">
        <v>27326</v>
      </c>
      <c r="B234" s="2" t="s">
        <v>514</v>
      </c>
      <c r="C234" s="2" t="s">
        <v>498</v>
      </c>
      <c r="D234" s="7">
        <f ca="1">TODAY()-A234</f>
        <v>18417</v>
      </c>
      <c r="E234" s="15"/>
      <c r="F234" s="12"/>
      <c r="I234" s="2">
        <f t="shared" si="27"/>
        <v>24</v>
      </c>
      <c r="J234" s="2">
        <f t="shared" si="28"/>
        <v>10</v>
      </c>
    </row>
    <row r="235" spans="1:10" x14ac:dyDescent="0.2">
      <c r="A235" s="5">
        <v>25136</v>
      </c>
      <c r="B235" s="2" t="s">
        <v>542</v>
      </c>
      <c r="C235" s="2" t="s">
        <v>525</v>
      </c>
      <c r="D235" s="7">
        <f ca="1">TODAY()-A235</f>
        <v>20607</v>
      </c>
      <c r="I235" s="2">
        <f t="shared" si="27"/>
        <v>25</v>
      </c>
      <c r="J235" s="2">
        <f t="shared" si="28"/>
        <v>10</v>
      </c>
    </row>
    <row r="236" spans="1:10" x14ac:dyDescent="0.2">
      <c r="A236" s="5">
        <v>7238</v>
      </c>
      <c r="B236" s="2" t="s">
        <v>608</v>
      </c>
      <c r="C236" s="2" t="s">
        <v>503</v>
      </c>
      <c r="D236" s="13" t="str">
        <f ca="1">"1"&amp;TEXT((TODAY()-A236),"yy:mm:dd")</f>
        <v>105:06:02</v>
      </c>
      <c r="E236" s="10" t="s">
        <v>609</v>
      </c>
      <c r="F236" s="11">
        <f>"15/12/1985"-A236</f>
        <v>24158</v>
      </c>
      <c r="I236" s="2">
        <f t="shared" si="27"/>
        <v>25</v>
      </c>
      <c r="J236" s="2">
        <f t="shared" si="28"/>
        <v>10</v>
      </c>
    </row>
    <row r="237" spans="1:10" x14ac:dyDescent="0.2">
      <c r="A237" s="5">
        <v>16371</v>
      </c>
      <c r="B237" s="2" t="s">
        <v>641</v>
      </c>
      <c r="C237" s="2" t="s">
        <v>642</v>
      </c>
      <c r="D237" s="9">
        <f ca="1">TODAY()-A237</f>
        <v>29372</v>
      </c>
      <c r="E237" s="10" t="s">
        <v>552</v>
      </c>
      <c r="F237" s="11">
        <f>"30/06/2003"-A237</f>
        <v>21431</v>
      </c>
      <c r="I237" s="2">
        <f t="shared" si="27"/>
        <v>26</v>
      </c>
      <c r="J237" s="2">
        <f t="shared" si="28"/>
        <v>10</v>
      </c>
    </row>
    <row r="238" spans="1:10" x14ac:dyDescent="0.2">
      <c r="A238" s="5">
        <v>29886</v>
      </c>
      <c r="B238" s="2" t="s">
        <v>852</v>
      </c>
      <c r="C238" s="2" t="s">
        <v>853</v>
      </c>
      <c r="D238" s="7">
        <f ca="1">TODAY()-A238</f>
        <v>15857</v>
      </c>
      <c r="I238" s="2">
        <f t="shared" si="27"/>
        <v>27</v>
      </c>
      <c r="J238" s="2">
        <f t="shared" si="28"/>
        <v>10</v>
      </c>
    </row>
    <row r="239" spans="1:10" x14ac:dyDescent="0.2">
      <c r="A239" s="5">
        <v>6875</v>
      </c>
      <c r="B239" s="2" t="s">
        <v>614</v>
      </c>
      <c r="C239" s="2" t="s">
        <v>615</v>
      </c>
      <c r="D239" s="13" t="str">
        <f ca="1">"1"&amp;TEXT((TODAY()-A239),"yy:mm:dd")</f>
        <v>106:05:31</v>
      </c>
      <c r="E239" s="10" t="s">
        <v>616</v>
      </c>
      <c r="F239" s="11">
        <f>"30/06/2000"-A239</f>
        <v>29832</v>
      </c>
      <c r="I239" s="2">
        <f t="shared" si="27"/>
        <v>27</v>
      </c>
      <c r="J239" s="2">
        <f t="shared" si="28"/>
        <v>10</v>
      </c>
    </row>
    <row r="240" spans="1:10" x14ac:dyDescent="0.2">
      <c r="A240" s="5">
        <v>30252</v>
      </c>
      <c r="B240" s="2" t="s">
        <v>846</v>
      </c>
      <c r="C240" s="2" t="s">
        <v>847</v>
      </c>
      <c r="D240" s="7">
        <f t="shared" ref="D240:D265" ca="1" si="30">TODAY()-A240</f>
        <v>15491</v>
      </c>
      <c r="I240" s="2">
        <f t="shared" si="27"/>
        <v>28</v>
      </c>
      <c r="J240" s="2">
        <f t="shared" si="28"/>
        <v>10</v>
      </c>
    </row>
    <row r="241" spans="1:10" x14ac:dyDescent="0.2">
      <c r="A241" s="5">
        <v>36463</v>
      </c>
      <c r="B241" s="2" t="s">
        <v>1137</v>
      </c>
      <c r="C241" s="2" t="s">
        <v>387</v>
      </c>
      <c r="D241" s="7">
        <f t="shared" ca="1" si="30"/>
        <v>9280</v>
      </c>
      <c r="I241" s="2">
        <f t="shared" si="27"/>
        <v>30</v>
      </c>
      <c r="J241" s="2">
        <f t="shared" si="28"/>
        <v>10</v>
      </c>
    </row>
    <row r="242" spans="1:10" x14ac:dyDescent="0.2">
      <c r="A242" s="5">
        <v>36463</v>
      </c>
      <c r="B242" s="2" t="s">
        <v>1137</v>
      </c>
      <c r="C242" s="2" t="s">
        <v>387</v>
      </c>
      <c r="D242" s="7">
        <f t="shared" ca="1" si="30"/>
        <v>9280</v>
      </c>
      <c r="I242" s="2">
        <f t="shared" si="27"/>
        <v>30</v>
      </c>
      <c r="J242" s="2">
        <f t="shared" si="28"/>
        <v>10</v>
      </c>
    </row>
    <row r="243" spans="1:10" x14ac:dyDescent="0.2">
      <c r="A243" s="5">
        <v>28065</v>
      </c>
      <c r="B243" s="2" t="s">
        <v>515</v>
      </c>
      <c r="C243" s="2" t="s">
        <v>506</v>
      </c>
      <c r="D243" s="7">
        <f t="shared" ca="1" si="30"/>
        <v>17678</v>
      </c>
      <c r="E243" s="15"/>
      <c r="F243" s="12"/>
      <c r="I243" s="2">
        <f t="shared" ref="I243:I265" si="31">DAY(A243)</f>
        <v>1</v>
      </c>
      <c r="J243" s="2">
        <f t="shared" ref="J243:J265" si="32">MONTH(A243)</f>
        <v>11</v>
      </c>
    </row>
    <row r="244" spans="1:10" x14ac:dyDescent="0.2">
      <c r="A244" s="5">
        <v>31352</v>
      </c>
      <c r="B244" s="2" t="s">
        <v>819</v>
      </c>
      <c r="C244" s="2" t="s">
        <v>387</v>
      </c>
      <c r="D244" s="7">
        <f t="shared" ca="1" si="30"/>
        <v>14391</v>
      </c>
      <c r="I244" s="2">
        <f t="shared" si="31"/>
        <v>1</v>
      </c>
      <c r="J244" s="2">
        <f t="shared" si="32"/>
        <v>11</v>
      </c>
    </row>
    <row r="245" spans="1:10" x14ac:dyDescent="0.2">
      <c r="A245" s="5">
        <v>34275</v>
      </c>
      <c r="B245" s="2" t="s">
        <v>1052</v>
      </c>
      <c r="C245" s="2" t="s">
        <v>1053</v>
      </c>
      <c r="D245" s="7">
        <f t="shared" ca="1" si="30"/>
        <v>11468</v>
      </c>
      <c r="I245" s="2">
        <f t="shared" si="31"/>
        <v>2</v>
      </c>
      <c r="J245" s="2">
        <f t="shared" si="32"/>
        <v>11</v>
      </c>
    </row>
    <row r="246" spans="1:10" x14ac:dyDescent="0.2">
      <c r="A246" s="5">
        <v>30623</v>
      </c>
      <c r="B246" s="2" t="s">
        <v>844</v>
      </c>
      <c r="C246" s="2" t="s">
        <v>845</v>
      </c>
      <c r="D246" s="7">
        <f t="shared" ca="1" si="30"/>
        <v>15120</v>
      </c>
      <c r="I246" s="2">
        <f t="shared" si="31"/>
        <v>3</v>
      </c>
      <c r="J246" s="2">
        <f t="shared" si="32"/>
        <v>11</v>
      </c>
    </row>
    <row r="247" spans="1:10" x14ac:dyDescent="0.2">
      <c r="A247" s="5">
        <v>32085</v>
      </c>
      <c r="B247" s="2" t="s">
        <v>759</v>
      </c>
      <c r="C247" s="2" t="s">
        <v>1056</v>
      </c>
      <c r="D247" s="7">
        <f t="shared" ca="1" si="30"/>
        <v>13658</v>
      </c>
      <c r="I247" s="2">
        <f t="shared" si="31"/>
        <v>4</v>
      </c>
      <c r="J247" s="2">
        <f t="shared" si="32"/>
        <v>11</v>
      </c>
    </row>
    <row r="248" spans="1:10" x14ac:dyDescent="0.2">
      <c r="A248" s="5">
        <v>25876</v>
      </c>
      <c r="B248" s="2" t="s">
        <v>522</v>
      </c>
      <c r="C248" s="2" t="s">
        <v>523</v>
      </c>
      <c r="D248" s="7">
        <f t="shared" ca="1" si="30"/>
        <v>19867</v>
      </c>
      <c r="I248" s="2">
        <f t="shared" si="31"/>
        <v>4</v>
      </c>
      <c r="J248" s="2">
        <f t="shared" si="32"/>
        <v>11</v>
      </c>
    </row>
    <row r="249" spans="1:10" x14ac:dyDescent="0.2">
      <c r="A249" s="5">
        <v>23685</v>
      </c>
      <c r="B249" s="2" t="s">
        <v>1442</v>
      </c>
      <c r="C249" s="2" t="s">
        <v>397</v>
      </c>
      <c r="D249" s="7">
        <f t="shared" ca="1" si="30"/>
        <v>22058</v>
      </c>
      <c r="I249" s="2">
        <f t="shared" si="31"/>
        <v>4</v>
      </c>
      <c r="J249" s="2">
        <f t="shared" si="32"/>
        <v>11</v>
      </c>
    </row>
    <row r="250" spans="1:10" x14ac:dyDescent="0.2">
      <c r="A250" s="5">
        <v>34642</v>
      </c>
      <c r="B250" s="2" t="s">
        <v>1464</v>
      </c>
      <c r="C250" s="2" t="s">
        <v>1474</v>
      </c>
      <c r="D250" s="7">
        <f t="shared" ca="1" si="30"/>
        <v>11101</v>
      </c>
      <c r="I250" s="2">
        <f t="shared" si="31"/>
        <v>4</v>
      </c>
      <c r="J250" s="2">
        <f t="shared" si="32"/>
        <v>11</v>
      </c>
    </row>
    <row r="251" spans="1:10" x14ac:dyDescent="0.2">
      <c r="A251" s="5">
        <v>22957</v>
      </c>
      <c r="B251" s="2" t="s">
        <v>543</v>
      </c>
      <c r="C251" s="2" t="s">
        <v>525</v>
      </c>
      <c r="D251" s="7">
        <f t="shared" ca="1" si="30"/>
        <v>22786</v>
      </c>
      <c r="I251" s="2">
        <f t="shared" si="31"/>
        <v>7</v>
      </c>
      <c r="J251" s="2">
        <f t="shared" si="32"/>
        <v>11</v>
      </c>
    </row>
    <row r="252" spans="1:10" x14ac:dyDescent="0.2">
      <c r="A252" s="5">
        <v>14556</v>
      </c>
      <c r="B252" s="2" t="s">
        <v>632</v>
      </c>
      <c r="C252" s="2" t="s">
        <v>633</v>
      </c>
      <c r="D252" s="7">
        <f t="shared" ca="1" si="30"/>
        <v>31187</v>
      </c>
      <c r="I252" s="2">
        <f t="shared" si="31"/>
        <v>7</v>
      </c>
      <c r="J252" s="2">
        <f t="shared" si="32"/>
        <v>11</v>
      </c>
    </row>
    <row r="253" spans="1:10" x14ac:dyDescent="0.2">
      <c r="A253" s="5">
        <v>31359</v>
      </c>
      <c r="B253" s="2" t="s">
        <v>1044</v>
      </c>
      <c r="C253" s="2" t="s">
        <v>1045</v>
      </c>
      <c r="D253" s="7">
        <f t="shared" ca="1" si="30"/>
        <v>14384</v>
      </c>
      <c r="I253" s="2">
        <f t="shared" si="31"/>
        <v>8</v>
      </c>
      <c r="J253" s="2">
        <f t="shared" si="32"/>
        <v>11</v>
      </c>
    </row>
    <row r="254" spans="1:10" x14ac:dyDescent="0.2">
      <c r="A254" s="5">
        <v>17114</v>
      </c>
      <c r="B254" s="2" t="s">
        <v>373</v>
      </c>
      <c r="C254" s="2" t="s">
        <v>377</v>
      </c>
      <c r="D254" s="7">
        <f t="shared" ca="1" si="30"/>
        <v>28629</v>
      </c>
      <c r="I254" s="2">
        <f t="shared" si="31"/>
        <v>8</v>
      </c>
      <c r="J254" s="2">
        <f t="shared" si="32"/>
        <v>11</v>
      </c>
    </row>
    <row r="255" spans="1:10" x14ac:dyDescent="0.2">
      <c r="A255" s="5">
        <v>34282</v>
      </c>
      <c r="B255" s="2" t="s">
        <v>1457</v>
      </c>
      <c r="C255" s="2" t="s">
        <v>1475</v>
      </c>
      <c r="D255" s="7">
        <f t="shared" ca="1" si="30"/>
        <v>11461</v>
      </c>
      <c r="I255" s="2">
        <f t="shared" si="31"/>
        <v>9</v>
      </c>
      <c r="J255" s="2">
        <f t="shared" si="32"/>
        <v>11</v>
      </c>
    </row>
    <row r="256" spans="1:10" x14ac:dyDescent="0.2">
      <c r="A256" s="5">
        <v>29169</v>
      </c>
      <c r="B256" s="2" t="s">
        <v>851</v>
      </c>
      <c r="C256" s="2" t="s">
        <v>400</v>
      </c>
      <c r="D256" s="7">
        <f t="shared" ca="1" si="30"/>
        <v>16574</v>
      </c>
      <c r="I256" s="2">
        <f t="shared" si="31"/>
        <v>10</v>
      </c>
      <c r="J256" s="2">
        <f t="shared" si="32"/>
        <v>11</v>
      </c>
    </row>
    <row r="257" spans="1:10" x14ac:dyDescent="0.2">
      <c r="A257" s="5">
        <v>25152</v>
      </c>
      <c r="B257" s="2" t="s">
        <v>507</v>
      </c>
      <c r="C257" s="2" t="s">
        <v>504</v>
      </c>
      <c r="D257" s="7">
        <f t="shared" ca="1" si="30"/>
        <v>20591</v>
      </c>
      <c r="E257" s="15"/>
      <c r="F257" s="12"/>
      <c r="I257" s="2">
        <f t="shared" si="31"/>
        <v>10</v>
      </c>
      <c r="J257" s="2">
        <f t="shared" si="32"/>
        <v>11</v>
      </c>
    </row>
    <row r="258" spans="1:10" x14ac:dyDescent="0.2">
      <c r="A258" s="5">
        <v>27346</v>
      </c>
      <c r="B258" s="2" t="s">
        <v>399</v>
      </c>
      <c r="C258" s="2" t="s">
        <v>587</v>
      </c>
      <c r="D258" s="7">
        <f t="shared" ca="1" si="30"/>
        <v>18397</v>
      </c>
      <c r="I258" s="2">
        <f t="shared" si="31"/>
        <v>13</v>
      </c>
      <c r="J258" s="2">
        <f t="shared" si="32"/>
        <v>11</v>
      </c>
    </row>
    <row r="259" spans="1:10" x14ac:dyDescent="0.2">
      <c r="A259" s="5">
        <v>30270</v>
      </c>
      <c r="B259" s="2" t="s">
        <v>828</v>
      </c>
      <c r="C259" s="2" t="s">
        <v>400</v>
      </c>
      <c r="D259" s="7">
        <f t="shared" ca="1" si="30"/>
        <v>15473</v>
      </c>
      <c r="I259" s="2">
        <f t="shared" si="31"/>
        <v>15</v>
      </c>
      <c r="J259" s="2">
        <f t="shared" si="32"/>
        <v>11</v>
      </c>
    </row>
    <row r="260" spans="1:10" x14ac:dyDescent="0.2">
      <c r="A260" s="5">
        <v>24792</v>
      </c>
      <c r="B260" s="2" t="s">
        <v>411</v>
      </c>
      <c r="C260" s="2" t="s">
        <v>424</v>
      </c>
      <c r="D260" s="7">
        <f t="shared" ca="1" si="30"/>
        <v>20951</v>
      </c>
      <c r="I260" s="2">
        <f t="shared" si="31"/>
        <v>16</v>
      </c>
      <c r="J260" s="2">
        <f t="shared" si="32"/>
        <v>11</v>
      </c>
    </row>
    <row r="261" spans="1:10" x14ac:dyDescent="0.2">
      <c r="A261" s="5">
        <v>30271</v>
      </c>
      <c r="B261" s="2" t="s">
        <v>781</v>
      </c>
      <c r="C261" s="2" t="s">
        <v>780</v>
      </c>
      <c r="D261" s="7">
        <f t="shared" ca="1" si="30"/>
        <v>15472</v>
      </c>
      <c r="I261" s="2">
        <f t="shared" si="31"/>
        <v>16</v>
      </c>
      <c r="J261" s="2">
        <f t="shared" si="32"/>
        <v>11</v>
      </c>
    </row>
    <row r="262" spans="1:10" x14ac:dyDescent="0.2">
      <c r="A262" s="5">
        <v>32464</v>
      </c>
      <c r="B262" s="2" t="s">
        <v>1041</v>
      </c>
      <c r="C262" s="2" t="s">
        <v>394</v>
      </c>
      <c r="D262" s="7">
        <f t="shared" ca="1" si="30"/>
        <v>13279</v>
      </c>
      <c r="I262" s="2">
        <f t="shared" si="31"/>
        <v>17</v>
      </c>
      <c r="J262" s="2">
        <f t="shared" si="32"/>
        <v>11</v>
      </c>
    </row>
    <row r="263" spans="1:10" x14ac:dyDescent="0.2">
      <c r="A263" s="5">
        <v>36847</v>
      </c>
      <c r="B263" s="2" t="s">
        <v>1456</v>
      </c>
      <c r="C263" s="2" t="s">
        <v>378</v>
      </c>
      <c r="D263" s="7">
        <f t="shared" ca="1" si="30"/>
        <v>8896</v>
      </c>
      <c r="I263" s="2">
        <f t="shared" si="31"/>
        <v>17</v>
      </c>
      <c r="J263" s="2">
        <f t="shared" si="32"/>
        <v>11</v>
      </c>
    </row>
    <row r="264" spans="1:10" x14ac:dyDescent="0.2">
      <c r="A264" s="5">
        <v>29543</v>
      </c>
      <c r="B264" s="2" t="s">
        <v>769</v>
      </c>
      <c r="C264" s="2" t="s">
        <v>498</v>
      </c>
      <c r="D264" s="7">
        <f t="shared" ca="1" si="30"/>
        <v>16200</v>
      </c>
      <c r="I264" s="2">
        <f t="shared" si="31"/>
        <v>18</v>
      </c>
      <c r="J264" s="2">
        <f t="shared" si="32"/>
        <v>11</v>
      </c>
    </row>
    <row r="265" spans="1:10" x14ac:dyDescent="0.2">
      <c r="A265" s="5">
        <v>16028</v>
      </c>
      <c r="B265" s="2" t="s">
        <v>578</v>
      </c>
      <c r="C265" s="2" t="s">
        <v>506</v>
      </c>
      <c r="D265" s="7">
        <f t="shared" ca="1" si="30"/>
        <v>29715</v>
      </c>
      <c r="I265" s="2">
        <f t="shared" si="31"/>
        <v>18</v>
      </c>
      <c r="J265" s="2">
        <f t="shared" si="32"/>
        <v>11</v>
      </c>
    </row>
    <row r="266" spans="1:10" x14ac:dyDescent="0.2">
      <c r="A266" s="5" t="s">
        <v>659</v>
      </c>
      <c r="B266" s="2" t="s">
        <v>657</v>
      </c>
      <c r="C266" s="2" t="s">
        <v>658</v>
      </c>
      <c r="D266" s="13" t="str">
        <f ca="1">"1"&amp;TEXT((TODAY()-"18/11/1990"),"yy:mm:dd")</f>
        <v>134:05:09</v>
      </c>
      <c r="E266" s="10" t="s">
        <v>660</v>
      </c>
      <c r="F266" s="14" t="s">
        <v>661</v>
      </c>
      <c r="G266" s="2" t="s">
        <v>148</v>
      </c>
      <c r="I266" s="2">
        <v>18</v>
      </c>
      <c r="J266" s="2">
        <v>11</v>
      </c>
    </row>
    <row r="267" spans="1:10" x14ac:dyDescent="0.2">
      <c r="A267" s="5">
        <v>35752</v>
      </c>
      <c r="B267" s="2" t="s">
        <v>1448</v>
      </c>
      <c r="C267" s="2" t="s">
        <v>691</v>
      </c>
      <c r="D267" s="7">
        <f ca="1">TODAY()-A267</f>
        <v>9991</v>
      </c>
      <c r="I267" s="2">
        <f t="shared" ref="I267:I280" si="33">DAY(A267)</f>
        <v>18</v>
      </c>
      <c r="J267" s="2">
        <f t="shared" ref="J267:J280" si="34">MONTH(A267)</f>
        <v>11</v>
      </c>
    </row>
    <row r="268" spans="1:10" x14ac:dyDescent="0.2">
      <c r="A268" s="5">
        <v>16760</v>
      </c>
      <c r="B268" s="2" t="s">
        <v>561</v>
      </c>
      <c r="C268" s="2" t="s">
        <v>562</v>
      </c>
      <c r="D268" s="7">
        <f ca="1">TODAY()-A268</f>
        <v>28983</v>
      </c>
      <c r="I268" s="2">
        <f t="shared" si="33"/>
        <v>19</v>
      </c>
      <c r="J268" s="2">
        <f t="shared" si="34"/>
        <v>11</v>
      </c>
    </row>
    <row r="269" spans="1:10" x14ac:dyDescent="0.2">
      <c r="A269" s="5">
        <v>17490</v>
      </c>
      <c r="B269" s="2" t="s">
        <v>687</v>
      </c>
      <c r="C269" s="2" t="s">
        <v>397</v>
      </c>
      <c r="D269" s="7">
        <f ca="1">TODAY()-A269</f>
        <v>28253</v>
      </c>
      <c r="G269" s="2" t="s">
        <v>148</v>
      </c>
      <c r="I269" s="2">
        <f t="shared" si="33"/>
        <v>19</v>
      </c>
      <c r="J269" s="2">
        <f t="shared" si="34"/>
        <v>11</v>
      </c>
    </row>
    <row r="270" spans="1:10" x14ac:dyDescent="0.2">
      <c r="A270" s="5">
        <v>28814</v>
      </c>
      <c r="B270" s="2" t="s">
        <v>855</v>
      </c>
      <c r="C270" s="2" t="s">
        <v>501</v>
      </c>
      <c r="D270" s="7">
        <f ca="1">TODAY()-A270</f>
        <v>16929</v>
      </c>
      <c r="I270" s="2">
        <f t="shared" si="33"/>
        <v>20</v>
      </c>
      <c r="J270" s="2">
        <f t="shared" si="34"/>
        <v>11</v>
      </c>
    </row>
    <row r="271" spans="1:10" x14ac:dyDescent="0.2">
      <c r="A271" s="5">
        <v>5077</v>
      </c>
      <c r="B271" s="2" t="s">
        <v>451</v>
      </c>
      <c r="C271" s="2" t="s">
        <v>387</v>
      </c>
      <c r="D271" s="13" t="str">
        <f ca="1">"1"&amp;TEXT((TODAY()-A271),"yy:mm:dd")</f>
        <v>111:05:03</v>
      </c>
      <c r="E271" s="10" t="s">
        <v>455</v>
      </c>
      <c r="F271" s="11">
        <f>"30/06/1995"-A271</f>
        <v>29803</v>
      </c>
      <c r="I271" s="2">
        <f t="shared" si="33"/>
        <v>24</v>
      </c>
      <c r="J271" s="2">
        <f t="shared" si="34"/>
        <v>11</v>
      </c>
    </row>
    <row r="272" spans="1:10" x14ac:dyDescent="0.2">
      <c r="A272" s="5">
        <v>31742</v>
      </c>
      <c r="B272" s="2" t="s">
        <v>1046</v>
      </c>
      <c r="C272" s="2" t="s">
        <v>1047</v>
      </c>
      <c r="D272" s="7">
        <f ca="1">TODAY()-A272</f>
        <v>14001</v>
      </c>
      <c r="I272" s="2">
        <f t="shared" si="33"/>
        <v>26</v>
      </c>
      <c r="J272" s="2">
        <f t="shared" si="34"/>
        <v>11</v>
      </c>
    </row>
    <row r="273" spans="1:10" x14ac:dyDescent="0.2">
      <c r="A273" s="5">
        <v>32838</v>
      </c>
      <c r="B273" s="2" t="s">
        <v>1127</v>
      </c>
      <c r="C273" s="2" t="s">
        <v>501</v>
      </c>
      <c r="D273" s="7">
        <f ca="1">TODAY()-A273</f>
        <v>12905</v>
      </c>
      <c r="I273" s="2">
        <f t="shared" si="33"/>
        <v>26</v>
      </c>
      <c r="J273" s="2">
        <f t="shared" si="34"/>
        <v>11</v>
      </c>
    </row>
    <row r="274" spans="1:10" x14ac:dyDescent="0.2">
      <c r="A274" s="5">
        <v>21517</v>
      </c>
      <c r="B274" s="2" t="s">
        <v>375</v>
      </c>
      <c r="C274" s="2" t="s">
        <v>379</v>
      </c>
      <c r="D274" s="7">
        <f ca="1">TODAY()-A274</f>
        <v>24226</v>
      </c>
      <c r="I274" s="2">
        <f t="shared" si="33"/>
        <v>28</v>
      </c>
      <c r="J274" s="2">
        <f t="shared" si="34"/>
        <v>11</v>
      </c>
    </row>
    <row r="275" spans="1:10" x14ac:dyDescent="0.2">
      <c r="A275" s="5">
        <v>8734</v>
      </c>
      <c r="B275" s="2" t="s">
        <v>597</v>
      </c>
      <c r="C275" s="2" t="s">
        <v>598</v>
      </c>
      <c r="D275" s="9">
        <f ca="1">TODAY()-A275</f>
        <v>37009</v>
      </c>
      <c r="E275" s="10" t="s">
        <v>599</v>
      </c>
      <c r="F275" s="11">
        <f>"30/06/2004"-A275</f>
        <v>29434</v>
      </c>
      <c r="I275" s="2">
        <f t="shared" si="33"/>
        <v>29</v>
      </c>
      <c r="J275" s="2">
        <f t="shared" si="34"/>
        <v>11</v>
      </c>
    </row>
    <row r="276" spans="1:10" x14ac:dyDescent="0.2">
      <c r="A276" s="5">
        <v>33572</v>
      </c>
      <c r="B276" s="2" t="s">
        <v>1035</v>
      </c>
      <c r="C276" s="2" t="s">
        <v>705</v>
      </c>
      <c r="D276" s="7">
        <f ca="1">TODAY()-A276</f>
        <v>12171</v>
      </c>
      <c r="E276" s="10"/>
      <c r="F276" s="11"/>
      <c r="I276" s="2">
        <f t="shared" si="33"/>
        <v>30</v>
      </c>
      <c r="J276" s="2">
        <f t="shared" si="34"/>
        <v>11</v>
      </c>
    </row>
    <row r="277" spans="1:10" x14ac:dyDescent="0.2">
      <c r="A277" s="5">
        <v>4719</v>
      </c>
      <c r="B277" s="2" t="s">
        <v>600</v>
      </c>
      <c r="C277" s="2" t="s">
        <v>387</v>
      </c>
      <c r="D277" s="13" t="str">
        <f ca="1">"1"&amp;TEXT((TODAY()-"01/12/1912"),"yy:mm:dd")</f>
        <v>112:04:25</v>
      </c>
      <c r="E277" s="6" t="s">
        <v>601</v>
      </c>
      <c r="F277" s="11">
        <f>"15/08/2004"-A277</f>
        <v>33495</v>
      </c>
      <c r="I277" s="2">
        <f t="shared" si="33"/>
        <v>1</v>
      </c>
      <c r="J277" s="2">
        <f t="shared" si="34"/>
        <v>12</v>
      </c>
    </row>
    <row r="278" spans="1:10" x14ac:dyDescent="0.2">
      <c r="A278" s="5">
        <v>29557</v>
      </c>
      <c r="B278" s="2" t="s">
        <v>1014</v>
      </c>
      <c r="C278" s="2" t="s">
        <v>1055</v>
      </c>
      <c r="D278" s="7">
        <f ca="1">TODAY()-A278</f>
        <v>16186</v>
      </c>
      <c r="I278" s="2">
        <f t="shared" si="33"/>
        <v>2</v>
      </c>
      <c r="J278" s="2">
        <f t="shared" si="34"/>
        <v>12</v>
      </c>
    </row>
    <row r="279" spans="1:10" x14ac:dyDescent="0.2">
      <c r="A279" s="5">
        <v>36862</v>
      </c>
      <c r="B279" s="2" t="s">
        <v>1143</v>
      </c>
      <c r="C279" s="2" t="s">
        <v>1147</v>
      </c>
      <c r="D279" s="7">
        <f ca="1">TODAY()-A279</f>
        <v>8881</v>
      </c>
      <c r="G279" s="2" t="s">
        <v>1145</v>
      </c>
      <c r="I279" s="2">
        <f t="shared" si="33"/>
        <v>2</v>
      </c>
      <c r="J279" s="2">
        <f t="shared" si="34"/>
        <v>12</v>
      </c>
    </row>
    <row r="280" spans="1:10" x14ac:dyDescent="0.2">
      <c r="A280" s="5">
        <v>31385</v>
      </c>
      <c r="B280" s="2" t="s">
        <v>816</v>
      </c>
      <c r="C280" s="2" t="s">
        <v>615</v>
      </c>
      <c r="D280" s="7">
        <f ca="1">TODAY()-A280</f>
        <v>14358</v>
      </c>
      <c r="I280" s="2">
        <f t="shared" si="33"/>
        <v>4</v>
      </c>
      <c r="J280" s="2">
        <f t="shared" si="34"/>
        <v>12</v>
      </c>
    </row>
    <row r="281" spans="1:10" x14ac:dyDescent="0.2">
      <c r="A281" s="5" t="s">
        <v>670</v>
      </c>
      <c r="B281" s="2" t="s">
        <v>669</v>
      </c>
      <c r="C281" s="2" t="s">
        <v>385</v>
      </c>
      <c r="D281" s="13" t="str">
        <f ca="1">"1"&amp;TEXT((TODAY()-"04/12/1999"),"yy:mm:dd")</f>
        <v>125:04:23</v>
      </c>
      <c r="E281" s="10" t="s">
        <v>671</v>
      </c>
      <c r="F281" s="14" t="s">
        <v>672</v>
      </c>
      <c r="G281" s="2" t="s">
        <v>148</v>
      </c>
      <c r="I281" s="2">
        <v>4</v>
      </c>
      <c r="J281" s="2">
        <v>12</v>
      </c>
    </row>
    <row r="282" spans="1:10" x14ac:dyDescent="0.2">
      <c r="A282" s="5">
        <v>10566</v>
      </c>
      <c r="B282" s="2" t="s">
        <v>634</v>
      </c>
      <c r="C282" s="2" t="s">
        <v>635</v>
      </c>
      <c r="D282" s="7">
        <f t="shared" ref="D282:D304" ca="1" si="35">TODAY()-A282</f>
        <v>35177</v>
      </c>
      <c r="I282" s="2">
        <f t="shared" ref="I282:I309" si="36">DAY(A282)</f>
        <v>4</v>
      </c>
      <c r="J282" s="2">
        <f t="shared" ref="J282:J309" si="37">MONTH(A282)</f>
        <v>12</v>
      </c>
    </row>
    <row r="283" spans="1:10" x14ac:dyDescent="0.2">
      <c r="A283" s="5">
        <v>30290</v>
      </c>
      <c r="B283" s="2" t="s">
        <v>765</v>
      </c>
      <c r="C283" s="2" t="s">
        <v>400</v>
      </c>
      <c r="D283" s="7">
        <f t="shared" ca="1" si="35"/>
        <v>15453</v>
      </c>
      <c r="I283" s="2">
        <f t="shared" si="36"/>
        <v>5</v>
      </c>
      <c r="J283" s="2">
        <f t="shared" si="37"/>
        <v>12</v>
      </c>
    </row>
    <row r="284" spans="1:10" x14ac:dyDescent="0.2">
      <c r="A284" s="5">
        <v>20430</v>
      </c>
      <c r="B284" s="2" t="s">
        <v>382</v>
      </c>
      <c r="C284" s="2" t="s">
        <v>383</v>
      </c>
      <c r="D284" s="7">
        <f t="shared" ca="1" si="35"/>
        <v>25313</v>
      </c>
      <c r="I284" s="2">
        <f t="shared" si="36"/>
        <v>7</v>
      </c>
      <c r="J284" s="2">
        <f t="shared" si="37"/>
        <v>12</v>
      </c>
    </row>
    <row r="285" spans="1:10" x14ac:dyDescent="0.2">
      <c r="A285" s="5">
        <v>28101</v>
      </c>
      <c r="B285" s="2" t="s">
        <v>849</v>
      </c>
      <c r="C285" s="2" t="s">
        <v>463</v>
      </c>
      <c r="D285" s="7">
        <f t="shared" ca="1" si="35"/>
        <v>17642</v>
      </c>
      <c r="I285" s="2">
        <f t="shared" si="36"/>
        <v>7</v>
      </c>
      <c r="J285" s="2">
        <f t="shared" si="37"/>
        <v>12</v>
      </c>
    </row>
    <row r="286" spans="1:10" x14ac:dyDescent="0.2">
      <c r="A286" s="5">
        <v>18605</v>
      </c>
      <c r="B286" s="2" t="s">
        <v>546</v>
      </c>
      <c r="C286" s="2" t="s">
        <v>547</v>
      </c>
      <c r="D286" s="7">
        <f t="shared" ca="1" si="35"/>
        <v>27138</v>
      </c>
      <c r="I286" s="2">
        <f t="shared" si="36"/>
        <v>8</v>
      </c>
      <c r="J286" s="2">
        <f t="shared" si="37"/>
        <v>12</v>
      </c>
    </row>
    <row r="287" spans="1:10" x14ac:dyDescent="0.2">
      <c r="A287" s="5">
        <v>25910</v>
      </c>
      <c r="B287" s="2" t="s">
        <v>791</v>
      </c>
      <c r="C287" s="2" t="s">
        <v>792</v>
      </c>
      <c r="D287" s="7">
        <f t="shared" ca="1" si="35"/>
        <v>19833</v>
      </c>
      <c r="I287" s="2">
        <f t="shared" si="36"/>
        <v>8</v>
      </c>
      <c r="J287" s="2">
        <f t="shared" si="37"/>
        <v>12</v>
      </c>
    </row>
    <row r="288" spans="1:10" x14ac:dyDescent="0.2">
      <c r="A288" s="5">
        <v>18606</v>
      </c>
      <c r="B288" s="2" t="s">
        <v>613</v>
      </c>
      <c r="C288" s="2" t="s">
        <v>550</v>
      </c>
      <c r="D288" s="7">
        <f t="shared" ca="1" si="35"/>
        <v>27137</v>
      </c>
      <c r="I288" s="2">
        <f t="shared" si="36"/>
        <v>9</v>
      </c>
      <c r="J288" s="2">
        <f t="shared" si="37"/>
        <v>12</v>
      </c>
    </row>
    <row r="289" spans="1:10" x14ac:dyDescent="0.2">
      <c r="A289" s="5">
        <v>32121</v>
      </c>
      <c r="B289" s="2" t="s">
        <v>761</v>
      </c>
      <c r="C289" s="2" t="s">
        <v>1054</v>
      </c>
      <c r="D289" s="7">
        <f t="shared" ca="1" si="35"/>
        <v>13622</v>
      </c>
      <c r="I289" s="2">
        <f t="shared" si="36"/>
        <v>10</v>
      </c>
      <c r="J289" s="2">
        <f t="shared" si="37"/>
        <v>12</v>
      </c>
    </row>
    <row r="290" spans="1:10" x14ac:dyDescent="0.2">
      <c r="A290" s="5">
        <v>14225</v>
      </c>
      <c r="B290" s="2" t="s">
        <v>686</v>
      </c>
      <c r="C290" s="2" t="s">
        <v>506</v>
      </c>
      <c r="D290" s="7">
        <f t="shared" ca="1" si="35"/>
        <v>31518</v>
      </c>
      <c r="G290" s="2" t="s">
        <v>148</v>
      </c>
      <c r="I290" s="2">
        <f t="shared" si="36"/>
        <v>11</v>
      </c>
      <c r="J290" s="2">
        <f t="shared" si="37"/>
        <v>12</v>
      </c>
    </row>
    <row r="291" spans="1:10" x14ac:dyDescent="0.2">
      <c r="A291" s="5">
        <v>29931</v>
      </c>
      <c r="B291" s="2" t="s">
        <v>1012</v>
      </c>
      <c r="C291" s="2" t="s">
        <v>471</v>
      </c>
      <c r="D291" s="7">
        <f t="shared" ca="1" si="35"/>
        <v>15812</v>
      </c>
      <c r="I291" s="2">
        <f t="shared" si="36"/>
        <v>11</v>
      </c>
      <c r="J291" s="2">
        <f t="shared" si="37"/>
        <v>12</v>
      </c>
    </row>
    <row r="292" spans="1:10" x14ac:dyDescent="0.2">
      <c r="A292" s="5">
        <v>35776</v>
      </c>
      <c r="B292" s="2" t="s">
        <v>1460</v>
      </c>
      <c r="C292" s="2" t="s">
        <v>389</v>
      </c>
      <c r="D292" s="7">
        <f t="shared" ca="1" si="35"/>
        <v>9967</v>
      </c>
      <c r="I292" s="2">
        <f t="shared" si="36"/>
        <v>12</v>
      </c>
      <c r="J292" s="2">
        <f t="shared" si="37"/>
        <v>12</v>
      </c>
    </row>
    <row r="293" spans="1:10" x14ac:dyDescent="0.2">
      <c r="A293" s="5">
        <v>28107</v>
      </c>
      <c r="B293" s="2" t="s">
        <v>811</v>
      </c>
      <c r="C293" s="2" t="s">
        <v>633</v>
      </c>
      <c r="D293" s="7">
        <f t="shared" ca="1" si="35"/>
        <v>17636</v>
      </c>
      <c r="I293" s="2">
        <f t="shared" si="36"/>
        <v>13</v>
      </c>
      <c r="J293" s="2">
        <f t="shared" si="37"/>
        <v>12</v>
      </c>
    </row>
    <row r="294" spans="1:10" x14ac:dyDescent="0.2">
      <c r="A294" s="5">
        <v>15323</v>
      </c>
      <c r="B294" s="2" t="s">
        <v>610</v>
      </c>
      <c r="C294" s="2" t="s">
        <v>394</v>
      </c>
      <c r="D294" s="7">
        <f t="shared" ca="1" si="35"/>
        <v>30420</v>
      </c>
      <c r="I294" s="2">
        <f t="shared" si="36"/>
        <v>13</v>
      </c>
      <c r="J294" s="2">
        <f t="shared" si="37"/>
        <v>12</v>
      </c>
    </row>
    <row r="295" spans="1:10" x14ac:dyDescent="0.2">
      <c r="A295" s="5">
        <v>36508</v>
      </c>
      <c r="B295" s="2" t="s">
        <v>1455</v>
      </c>
      <c r="C295" s="2" t="s">
        <v>550</v>
      </c>
      <c r="D295" s="7">
        <f t="shared" ca="1" si="35"/>
        <v>9235</v>
      </c>
      <c r="I295" s="2">
        <f t="shared" si="36"/>
        <v>14</v>
      </c>
      <c r="J295" s="2">
        <f t="shared" si="37"/>
        <v>12</v>
      </c>
    </row>
    <row r="296" spans="1:10" x14ac:dyDescent="0.2">
      <c r="A296" s="5">
        <v>26284</v>
      </c>
      <c r="B296" s="2" t="s">
        <v>804</v>
      </c>
      <c r="C296" s="2" t="s">
        <v>805</v>
      </c>
      <c r="D296" s="7">
        <f t="shared" ca="1" si="35"/>
        <v>19459</v>
      </c>
      <c r="I296" s="2">
        <f t="shared" si="36"/>
        <v>17</v>
      </c>
      <c r="J296" s="2">
        <f t="shared" si="37"/>
        <v>12</v>
      </c>
    </row>
    <row r="297" spans="1:10" x14ac:dyDescent="0.2">
      <c r="A297" s="5">
        <v>21536</v>
      </c>
      <c r="B297" s="2" t="s">
        <v>384</v>
      </c>
      <c r="C297" s="2" t="s">
        <v>385</v>
      </c>
      <c r="D297" s="7">
        <f t="shared" ca="1" si="35"/>
        <v>24207</v>
      </c>
      <c r="I297" s="2">
        <f t="shared" si="36"/>
        <v>17</v>
      </c>
      <c r="J297" s="2">
        <f t="shared" si="37"/>
        <v>12</v>
      </c>
    </row>
    <row r="298" spans="1:10" x14ac:dyDescent="0.2">
      <c r="A298" s="5">
        <v>29937</v>
      </c>
      <c r="B298" s="2" t="s">
        <v>787</v>
      </c>
      <c r="C298" s="2" t="s">
        <v>786</v>
      </c>
      <c r="D298" s="7">
        <f t="shared" ca="1" si="35"/>
        <v>15806</v>
      </c>
      <c r="I298" s="2">
        <f t="shared" si="36"/>
        <v>17</v>
      </c>
      <c r="J298" s="2">
        <f t="shared" si="37"/>
        <v>12</v>
      </c>
    </row>
    <row r="299" spans="1:10" x14ac:dyDescent="0.2">
      <c r="A299" s="5">
        <v>29573</v>
      </c>
      <c r="B299" s="2" t="s">
        <v>797</v>
      </c>
      <c r="C299" s="2" t="s">
        <v>471</v>
      </c>
      <c r="D299" s="7">
        <f t="shared" ca="1" si="35"/>
        <v>16170</v>
      </c>
      <c r="I299" s="2">
        <f t="shared" si="36"/>
        <v>18</v>
      </c>
      <c r="J299" s="2">
        <f t="shared" si="37"/>
        <v>12</v>
      </c>
    </row>
    <row r="300" spans="1:10" x14ac:dyDescent="0.2">
      <c r="A300" s="5">
        <v>29940</v>
      </c>
      <c r="B300" s="2" t="s">
        <v>795</v>
      </c>
      <c r="C300" s="2" t="s">
        <v>796</v>
      </c>
      <c r="D300" s="7">
        <f t="shared" ca="1" si="35"/>
        <v>15803</v>
      </c>
      <c r="I300" s="2">
        <f t="shared" si="36"/>
        <v>20</v>
      </c>
      <c r="J300" s="2">
        <f t="shared" si="37"/>
        <v>12</v>
      </c>
    </row>
    <row r="301" spans="1:10" x14ac:dyDescent="0.2">
      <c r="A301" s="5">
        <v>31402</v>
      </c>
      <c r="B301" s="2" t="s">
        <v>818</v>
      </c>
      <c r="C301" s="2" t="s">
        <v>387</v>
      </c>
      <c r="D301" s="7">
        <f t="shared" ca="1" si="35"/>
        <v>14341</v>
      </c>
      <c r="I301" s="2">
        <f t="shared" si="36"/>
        <v>21</v>
      </c>
      <c r="J301" s="2">
        <f t="shared" si="37"/>
        <v>12</v>
      </c>
    </row>
    <row r="302" spans="1:10" x14ac:dyDescent="0.2">
      <c r="A302" s="5">
        <v>25194</v>
      </c>
      <c r="B302" s="2" t="s">
        <v>996</v>
      </c>
      <c r="C302" s="2" t="s">
        <v>997</v>
      </c>
      <c r="D302" s="7">
        <f t="shared" ca="1" si="35"/>
        <v>20549</v>
      </c>
      <c r="I302" s="2">
        <f t="shared" si="36"/>
        <v>22</v>
      </c>
      <c r="J302" s="2">
        <f t="shared" si="37"/>
        <v>12</v>
      </c>
    </row>
    <row r="303" spans="1:10" x14ac:dyDescent="0.2">
      <c r="A303" s="5">
        <v>37247</v>
      </c>
      <c r="B303" s="2" t="s">
        <v>1453</v>
      </c>
      <c r="D303" s="7">
        <f t="shared" ca="1" si="35"/>
        <v>8496</v>
      </c>
      <c r="I303" s="2">
        <f t="shared" si="36"/>
        <v>22</v>
      </c>
      <c r="J303" s="2">
        <f t="shared" si="37"/>
        <v>12</v>
      </c>
    </row>
    <row r="304" spans="1:10" x14ac:dyDescent="0.2">
      <c r="A304" s="5">
        <v>13874</v>
      </c>
      <c r="B304" s="2" t="s">
        <v>685</v>
      </c>
      <c r="C304" s="2" t="s">
        <v>394</v>
      </c>
      <c r="D304" s="7">
        <f t="shared" ca="1" si="35"/>
        <v>31869</v>
      </c>
      <c r="G304" s="2" t="s">
        <v>148</v>
      </c>
      <c r="I304" s="2">
        <f t="shared" si="36"/>
        <v>25</v>
      </c>
      <c r="J304" s="2">
        <f t="shared" si="37"/>
        <v>12</v>
      </c>
    </row>
    <row r="305" spans="1:10" x14ac:dyDescent="0.2">
      <c r="A305" s="5">
        <v>7299</v>
      </c>
      <c r="B305" s="2" t="s">
        <v>627</v>
      </c>
      <c r="C305" s="2" t="s">
        <v>628</v>
      </c>
      <c r="D305" s="13" t="str">
        <f ca="1">"1"&amp;TEXT((TODAY()-A305),"yy:mm:dd")</f>
        <v>105:04:02</v>
      </c>
      <c r="E305" s="10" t="s">
        <v>1477</v>
      </c>
      <c r="F305" s="11">
        <f>"06/04/2010"-A305</f>
        <v>32975</v>
      </c>
      <c r="I305" s="2">
        <f t="shared" si="36"/>
        <v>25</v>
      </c>
      <c r="J305" s="2">
        <f t="shared" si="37"/>
        <v>12</v>
      </c>
    </row>
    <row r="306" spans="1:10" x14ac:dyDescent="0.2">
      <c r="A306" s="5">
        <v>26661</v>
      </c>
      <c r="B306" s="2" t="s">
        <v>466</v>
      </c>
      <c r="C306" s="2" t="s">
        <v>394</v>
      </c>
      <c r="D306" s="7">
        <f ca="1">TODAY()-A306</f>
        <v>19082</v>
      </c>
      <c r="I306" s="2">
        <f t="shared" si="36"/>
        <v>28</v>
      </c>
      <c r="J306" s="2">
        <f t="shared" si="37"/>
        <v>12</v>
      </c>
    </row>
    <row r="307" spans="1:10" x14ac:dyDescent="0.2">
      <c r="A307" s="5">
        <v>33966</v>
      </c>
      <c r="B307" s="2" t="s">
        <v>1463</v>
      </c>
      <c r="C307" s="2" t="s">
        <v>1476</v>
      </c>
      <c r="D307" s="7">
        <f ca="1">TODAY()-A307</f>
        <v>11777</v>
      </c>
      <c r="I307" s="2">
        <f t="shared" si="36"/>
        <v>28</v>
      </c>
      <c r="J307" s="2">
        <f t="shared" si="37"/>
        <v>12</v>
      </c>
    </row>
    <row r="308" spans="1:10" x14ac:dyDescent="0.2">
      <c r="A308" s="5">
        <v>6939</v>
      </c>
      <c r="B308" s="2" t="s">
        <v>683</v>
      </c>
      <c r="C308" s="2" t="s">
        <v>684</v>
      </c>
      <c r="D308" s="13" t="str">
        <f ca="1">"1"&amp;TEXT((TODAY()-A308),"yy:mm:dd")</f>
        <v>106:03:28</v>
      </c>
      <c r="E308" s="10" t="s">
        <v>537</v>
      </c>
      <c r="F308" s="11">
        <f>"30/06/1994"-A308</f>
        <v>27576</v>
      </c>
      <c r="G308" s="2" t="s">
        <v>148</v>
      </c>
      <c r="I308" s="2">
        <f t="shared" si="36"/>
        <v>30</v>
      </c>
      <c r="J308" s="2">
        <f t="shared" si="37"/>
        <v>12</v>
      </c>
    </row>
    <row r="309" spans="1:10" x14ac:dyDescent="0.2">
      <c r="A309" s="5">
        <v>29950</v>
      </c>
      <c r="B309" s="2" t="s">
        <v>1135</v>
      </c>
      <c r="C309" s="2" t="s">
        <v>540</v>
      </c>
      <c r="D309" s="7">
        <f ca="1">TODAY()-A309</f>
        <v>15793</v>
      </c>
      <c r="I309" s="2">
        <f t="shared" si="36"/>
        <v>30</v>
      </c>
      <c r="J309" s="2">
        <f t="shared" si="37"/>
        <v>12</v>
      </c>
    </row>
    <row r="310" spans="1:10" x14ac:dyDescent="0.2">
      <c r="D310" s="7"/>
      <c r="I310" s="2">
        <f t="shared" ref="I310:I326" si="38">DAY(A310)</f>
        <v>0</v>
      </c>
      <c r="J310" s="2">
        <f t="shared" ref="J310:J326" si="39">MONTH(A310)</f>
        <v>1</v>
      </c>
    </row>
    <row r="311" spans="1:10" x14ac:dyDescent="0.2">
      <c r="D311" s="7"/>
      <c r="I311" s="2">
        <f t="shared" si="38"/>
        <v>0</v>
      </c>
      <c r="J311" s="2">
        <f t="shared" si="39"/>
        <v>1</v>
      </c>
    </row>
    <row r="312" spans="1:10" x14ac:dyDescent="0.2">
      <c r="D312" s="7"/>
      <c r="I312" s="2">
        <f t="shared" si="38"/>
        <v>0</v>
      </c>
      <c r="J312" s="2">
        <f t="shared" si="39"/>
        <v>1</v>
      </c>
    </row>
    <row r="313" spans="1:10" x14ac:dyDescent="0.2">
      <c r="D313" s="7"/>
      <c r="I313" s="2">
        <f t="shared" si="38"/>
        <v>0</v>
      </c>
      <c r="J313" s="2">
        <f t="shared" si="39"/>
        <v>1</v>
      </c>
    </row>
    <row r="314" spans="1:10" x14ac:dyDescent="0.2">
      <c r="D314" s="7"/>
      <c r="I314" s="2">
        <f t="shared" si="38"/>
        <v>0</v>
      </c>
      <c r="J314" s="2">
        <f t="shared" si="39"/>
        <v>1</v>
      </c>
    </row>
    <row r="315" spans="1:10" x14ac:dyDescent="0.2">
      <c r="D315" s="7"/>
      <c r="I315" s="2">
        <f t="shared" si="38"/>
        <v>0</v>
      </c>
      <c r="J315" s="2">
        <f t="shared" si="39"/>
        <v>1</v>
      </c>
    </row>
    <row r="316" spans="1:10" x14ac:dyDescent="0.2">
      <c r="D316" s="7"/>
      <c r="I316" s="2">
        <f t="shared" si="38"/>
        <v>0</v>
      </c>
      <c r="J316" s="2">
        <f t="shared" si="39"/>
        <v>1</v>
      </c>
    </row>
    <row r="317" spans="1:10" x14ac:dyDescent="0.2">
      <c r="D317" s="7"/>
      <c r="I317" s="2">
        <f t="shared" si="38"/>
        <v>0</v>
      </c>
      <c r="J317" s="2">
        <f t="shared" si="39"/>
        <v>1</v>
      </c>
    </row>
    <row r="318" spans="1:10" x14ac:dyDescent="0.2">
      <c r="D318" s="7"/>
      <c r="I318" s="2">
        <f t="shared" si="38"/>
        <v>0</v>
      </c>
      <c r="J318" s="2">
        <f t="shared" si="39"/>
        <v>1</v>
      </c>
    </row>
    <row r="319" spans="1:10" x14ac:dyDescent="0.2">
      <c r="D319" s="7"/>
      <c r="I319" s="2">
        <f t="shared" si="38"/>
        <v>0</v>
      </c>
      <c r="J319" s="2">
        <f t="shared" si="39"/>
        <v>1</v>
      </c>
    </row>
    <row r="320" spans="1:10" x14ac:dyDescent="0.2">
      <c r="D320" s="7"/>
      <c r="I320" s="2">
        <f t="shared" si="38"/>
        <v>0</v>
      </c>
      <c r="J320" s="2">
        <f t="shared" si="39"/>
        <v>1</v>
      </c>
    </row>
    <row r="321" spans="4:10" x14ac:dyDescent="0.2">
      <c r="D321" s="7"/>
      <c r="I321" s="2">
        <f t="shared" si="38"/>
        <v>0</v>
      </c>
      <c r="J321" s="2">
        <f t="shared" si="39"/>
        <v>1</v>
      </c>
    </row>
    <row r="322" spans="4:10" x14ac:dyDescent="0.2">
      <c r="D322" s="7"/>
      <c r="I322" s="2">
        <f t="shared" si="38"/>
        <v>0</v>
      </c>
      <c r="J322" s="2">
        <f t="shared" si="39"/>
        <v>1</v>
      </c>
    </row>
    <row r="323" spans="4:10" x14ac:dyDescent="0.2">
      <c r="D323" s="7"/>
      <c r="I323" s="2">
        <f t="shared" si="38"/>
        <v>0</v>
      </c>
      <c r="J323" s="2">
        <f t="shared" si="39"/>
        <v>1</v>
      </c>
    </row>
    <row r="324" spans="4:10" x14ac:dyDescent="0.2">
      <c r="D324" s="7"/>
      <c r="I324" s="2">
        <f t="shared" si="38"/>
        <v>0</v>
      </c>
      <c r="J324" s="2">
        <f t="shared" si="39"/>
        <v>1</v>
      </c>
    </row>
    <row r="325" spans="4:10" x14ac:dyDescent="0.2">
      <c r="D325" s="7"/>
      <c r="I325" s="2">
        <f t="shared" si="38"/>
        <v>0</v>
      </c>
      <c r="J325" s="2">
        <f t="shared" si="39"/>
        <v>1</v>
      </c>
    </row>
    <row r="326" spans="4:10" x14ac:dyDescent="0.2">
      <c r="D326" s="7"/>
      <c r="I326" s="2">
        <f t="shared" si="38"/>
        <v>0</v>
      </c>
      <c r="J326" s="2">
        <f t="shared" si="39"/>
        <v>1</v>
      </c>
    </row>
    <row r="327" spans="4:10" x14ac:dyDescent="0.2">
      <c r="D327" s="7"/>
      <c r="I327" s="2">
        <f t="shared" ref="I327:I390" si="40">DAY(A327)</f>
        <v>0</v>
      </c>
      <c r="J327" s="2">
        <f t="shared" ref="J327:J390" si="41">MONTH(A327)</f>
        <v>1</v>
      </c>
    </row>
    <row r="328" spans="4:10" x14ac:dyDescent="0.2">
      <c r="D328" s="7"/>
      <c r="I328" s="2">
        <f t="shared" si="40"/>
        <v>0</v>
      </c>
      <c r="J328" s="2">
        <f t="shared" si="41"/>
        <v>1</v>
      </c>
    </row>
    <row r="329" spans="4:10" x14ac:dyDescent="0.2">
      <c r="D329" s="7"/>
      <c r="I329" s="2">
        <f t="shared" si="40"/>
        <v>0</v>
      </c>
      <c r="J329" s="2">
        <f t="shared" si="41"/>
        <v>1</v>
      </c>
    </row>
    <row r="330" spans="4:10" x14ac:dyDescent="0.2">
      <c r="D330" s="7"/>
      <c r="I330" s="2">
        <f t="shared" si="40"/>
        <v>0</v>
      </c>
      <c r="J330" s="2">
        <f t="shared" si="41"/>
        <v>1</v>
      </c>
    </row>
    <row r="331" spans="4:10" x14ac:dyDescent="0.2">
      <c r="D331" s="7"/>
      <c r="I331" s="2">
        <f t="shared" si="40"/>
        <v>0</v>
      </c>
      <c r="J331" s="2">
        <f t="shared" si="41"/>
        <v>1</v>
      </c>
    </row>
    <row r="332" spans="4:10" x14ac:dyDescent="0.2">
      <c r="D332" s="7"/>
      <c r="I332" s="2">
        <f t="shared" si="40"/>
        <v>0</v>
      </c>
      <c r="J332" s="2">
        <f t="shared" si="41"/>
        <v>1</v>
      </c>
    </row>
    <row r="333" spans="4:10" x14ac:dyDescent="0.2">
      <c r="D333" s="7"/>
      <c r="I333" s="2">
        <f t="shared" si="40"/>
        <v>0</v>
      </c>
      <c r="J333" s="2">
        <f t="shared" si="41"/>
        <v>1</v>
      </c>
    </row>
    <row r="334" spans="4:10" x14ac:dyDescent="0.2">
      <c r="D334" s="7"/>
      <c r="I334" s="2">
        <f t="shared" si="40"/>
        <v>0</v>
      </c>
      <c r="J334" s="2">
        <f t="shared" si="41"/>
        <v>1</v>
      </c>
    </row>
    <row r="335" spans="4:10" x14ac:dyDescent="0.2">
      <c r="D335" s="7"/>
      <c r="I335" s="2">
        <f t="shared" si="40"/>
        <v>0</v>
      </c>
      <c r="J335" s="2">
        <f t="shared" si="41"/>
        <v>1</v>
      </c>
    </row>
    <row r="336" spans="4:10" x14ac:dyDescent="0.2">
      <c r="D336" s="7"/>
      <c r="I336" s="2">
        <f t="shared" si="40"/>
        <v>0</v>
      </c>
      <c r="J336" s="2">
        <f t="shared" si="41"/>
        <v>1</v>
      </c>
    </row>
    <row r="337" spans="4:10" x14ac:dyDescent="0.2">
      <c r="D337" s="7"/>
      <c r="I337" s="2">
        <f t="shared" si="40"/>
        <v>0</v>
      </c>
      <c r="J337" s="2">
        <f t="shared" si="41"/>
        <v>1</v>
      </c>
    </row>
    <row r="338" spans="4:10" x14ac:dyDescent="0.2">
      <c r="D338" s="7"/>
      <c r="I338" s="2">
        <f t="shared" si="40"/>
        <v>0</v>
      </c>
      <c r="J338" s="2">
        <f t="shared" si="41"/>
        <v>1</v>
      </c>
    </row>
    <row r="339" spans="4:10" x14ac:dyDescent="0.2">
      <c r="D339" s="7"/>
      <c r="I339" s="2">
        <f t="shared" si="40"/>
        <v>0</v>
      </c>
      <c r="J339" s="2">
        <f t="shared" si="41"/>
        <v>1</v>
      </c>
    </row>
    <row r="340" spans="4:10" x14ac:dyDescent="0.2">
      <c r="D340" s="7"/>
      <c r="I340" s="2">
        <f t="shared" si="40"/>
        <v>0</v>
      </c>
      <c r="J340" s="2">
        <f t="shared" si="41"/>
        <v>1</v>
      </c>
    </row>
    <row r="341" spans="4:10" x14ac:dyDescent="0.2">
      <c r="D341" s="7"/>
      <c r="I341" s="2">
        <f t="shared" si="40"/>
        <v>0</v>
      </c>
      <c r="J341" s="2">
        <f t="shared" si="41"/>
        <v>1</v>
      </c>
    </row>
    <row r="342" spans="4:10" x14ac:dyDescent="0.2">
      <c r="D342" s="7"/>
      <c r="I342" s="2">
        <f t="shared" si="40"/>
        <v>0</v>
      </c>
      <c r="J342" s="2">
        <f t="shared" si="41"/>
        <v>1</v>
      </c>
    </row>
    <row r="343" spans="4:10" x14ac:dyDescent="0.2">
      <c r="D343" s="7"/>
      <c r="I343" s="2">
        <f t="shared" si="40"/>
        <v>0</v>
      </c>
      <c r="J343" s="2">
        <f t="shared" si="41"/>
        <v>1</v>
      </c>
    </row>
    <row r="344" spans="4:10" x14ac:dyDescent="0.2">
      <c r="D344" s="7"/>
      <c r="I344" s="2">
        <f t="shared" si="40"/>
        <v>0</v>
      </c>
      <c r="J344" s="2">
        <f t="shared" si="41"/>
        <v>1</v>
      </c>
    </row>
    <row r="345" spans="4:10" x14ac:dyDescent="0.2">
      <c r="D345" s="7"/>
      <c r="I345" s="2">
        <f t="shared" si="40"/>
        <v>0</v>
      </c>
      <c r="J345" s="2">
        <f t="shared" si="41"/>
        <v>1</v>
      </c>
    </row>
    <row r="346" spans="4:10" x14ac:dyDescent="0.2">
      <c r="D346" s="7"/>
      <c r="I346" s="2">
        <f t="shared" si="40"/>
        <v>0</v>
      </c>
      <c r="J346" s="2">
        <f t="shared" si="41"/>
        <v>1</v>
      </c>
    </row>
    <row r="347" spans="4:10" x14ac:dyDescent="0.2">
      <c r="D347" s="7"/>
      <c r="I347" s="2">
        <f t="shared" si="40"/>
        <v>0</v>
      </c>
      <c r="J347" s="2">
        <f t="shared" si="41"/>
        <v>1</v>
      </c>
    </row>
    <row r="348" spans="4:10" x14ac:dyDescent="0.2">
      <c r="D348" s="7"/>
      <c r="I348" s="2">
        <f t="shared" si="40"/>
        <v>0</v>
      </c>
      <c r="J348" s="2">
        <f t="shared" si="41"/>
        <v>1</v>
      </c>
    </row>
    <row r="349" spans="4:10" x14ac:dyDescent="0.2">
      <c r="D349" s="7"/>
      <c r="I349" s="2">
        <f t="shared" si="40"/>
        <v>0</v>
      </c>
      <c r="J349" s="2">
        <f t="shared" si="41"/>
        <v>1</v>
      </c>
    </row>
    <row r="350" spans="4:10" x14ac:dyDescent="0.2">
      <c r="D350" s="7"/>
      <c r="I350" s="2">
        <f t="shared" si="40"/>
        <v>0</v>
      </c>
      <c r="J350" s="2">
        <f t="shared" si="41"/>
        <v>1</v>
      </c>
    </row>
    <row r="351" spans="4:10" x14ac:dyDescent="0.2">
      <c r="D351" s="7"/>
      <c r="I351" s="2">
        <f t="shared" si="40"/>
        <v>0</v>
      </c>
      <c r="J351" s="2">
        <f t="shared" si="41"/>
        <v>1</v>
      </c>
    </row>
    <row r="352" spans="4:10" x14ac:dyDescent="0.2">
      <c r="D352" s="7"/>
      <c r="I352" s="2">
        <f t="shared" si="40"/>
        <v>0</v>
      </c>
      <c r="J352" s="2">
        <f t="shared" si="41"/>
        <v>1</v>
      </c>
    </row>
    <row r="353" spans="4:10" x14ac:dyDescent="0.2">
      <c r="D353" s="7"/>
      <c r="I353" s="2">
        <f t="shared" si="40"/>
        <v>0</v>
      </c>
      <c r="J353" s="2">
        <f t="shared" si="41"/>
        <v>1</v>
      </c>
    </row>
    <row r="354" spans="4:10" x14ac:dyDescent="0.2">
      <c r="D354" s="7"/>
      <c r="I354" s="2">
        <f t="shared" si="40"/>
        <v>0</v>
      </c>
      <c r="J354" s="2">
        <f t="shared" si="41"/>
        <v>1</v>
      </c>
    </row>
    <row r="355" spans="4:10" x14ac:dyDescent="0.2">
      <c r="D355" s="7"/>
      <c r="I355" s="2">
        <f t="shared" si="40"/>
        <v>0</v>
      </c>
      <c r="J355" s="2">
        <f t="shared" si="41"/>
        <v>1</v>
      </c>
    </row>
    <row r="356" spans="4:10" x14ac:dyDescent="0.2">
      <c r="D356" s="7"/>
      <c r="I356" s="2">
        <f t="shared" si="40"/>
        <v>0</v>
      </c>
      <c r="J356" s="2">
        <f t="shared" si="41"/>
        <v>1</v>
      </c>
    </row>
    <row r="357" spans="4:10" x14ac:dyDescent="0.2">
      <c r="D357" s="7"/>
      <c r="I357" s="2">
        <f t="shared" si="40"/>
        <v>0</v>
      </c>
      <c r="J357" s="2">
        <f t="shared" si="41"/>
        <v>1</v>
      </c>
    </row>
    <row r="358" spans="4:10" x14ac:dyDescent="0.2">
      <c r="D358" s="7"/>
      <c r="I358" s="2">
        <f t="shared" si="40"/>
        <v>0</v>
      </c>
      <c r="J358" s="2">
        <f t="shared" si="41"/>
        <v>1</v>
      </c>
    </row>
    <row r="359" spans="4:10" x14ac:dyDescent="0.2">
      <c r="D359" s="7"/>
      <c r="I359" s="2">
        <f t="shared" si="40"/>
        <v>0</v>
      </c>
      <c r="J359" s="2">
        <f t="shared" si="41"/>
        <v>1</v>
      </c>
    </row>
    <row r="360" spans="4:10" x14ac:dyDescent="0.2">
      <c r="D360" s="7"/>
      <c r="I360" s="2">
        <f t="shared" si="40"/>
        <v>0</v>
      </c>
      <c r="J360" s="2">
        <f t="shared" si="41"/>
        <v>1</v>
      </c>
    </row>
    <row r="361" spans="4:10" x14ac:dyDescent="0.2">
      <c r="D361" s="7"/>
      <c r="I361" s="2">
        <f t="shared" si="40"/>
        <v>0</v>
      </c>
      <c r="J361" s="2">
        <f t="shared" si="41"/>
        <v>1</v>
      </c>
    </row>
    <row r="362" spans="4:10" x14ac:dyDescent="0.2">
      <c r="D362" s="7"/>
      <c r="I362" s="2">
        <f t="shared" si="40"/>
        <v>0</v>
      </c>
      <c r="J362" s="2">
        <f t="shared" si="41"/>
        <v>1</v>
      </c>
    </row>
    <row r="363" spans="4:10" x14ac:dyDescent="0.2">
      <c r="D363" s="7"/>
      <c r="I363" s="2">
        <f t="shared" si="40"/>
        <v>0</v>
      </c>
      <c r="J363" s="2">
        <f t="shared" si="41"/>
        <v>1</v>
      </c>
    </row>
    <row r="364" spans="4:10" x14ac:dyDescent="0.2">
      <c r="D364" s="7"/>
      <c r="I364" s="2">
        <f t="shared" si="40"/>
        <v>0</v>
      </c>
      <c r="J364" s="2">
        <f t="shared" si="41"/>
        <v>1</v>
      </c>
    </row>
    <row r="365" spans="4:10" x14ac:dyDescent="0.2">
      <c r="D365" s="7"/>
      <c r="I365" s="2">
        <f t="shared" si="40"/>
        <v>0</v>
      </c>
      <c r="J365" s="2">
        <f t="shared" si="41"/>
        <v>1</v>
      </c>
    </row>
    <row r="366" spans="4:10" x14ac:dyDescent="0.2">
      <c r="D366" s="7"/>
      <c r="I366" s="2">
        <f t="shared" si="40"/>
        <v>0</v>
      </c>
      <c r="J366" s="2">
        <f t="shared" si="41"/>
        <v>1</v>
      </c>
    </row>
    <row r="367" spans="4:10" x14ac:dyDescent="0.2">
      <c r="D367" s="7"/>
      <c r="I367" s="2">
        <f t="shared" si="40"/>
        <v>0</v>
      </c>
      <c r="J367" s="2">
        <f t="shared" si="41"/>
        <v>1</v>
      </c>
    </row>
    <row r="368" spans="4:10" x14ac:dyDescent="0.2">
      <c r="D368" s="7"/>
      <c r="I368" s="2">
        <f t="shared" si="40"/>
        <v>0</v>
      </c>
      <c r="J368" s="2">
        <f t="shared" si="41"/>
        <v>1</v>
      </c>
    </row>
    <row r="369" spans="4:10" x14ac:dyDescent="0.2">
      <c r="D369" s="7"/>
      <c r="I369" s="2">
        <f t="shared" si="40"/>
        <v>0</v>
      </c>
      <c r="J369" s="2">
        <f t="shared" si="41"/>
        <v>1</v>
      </c>
    </row>
    <row r="370" spans="4:10" x14ac:dyDescent="0.2">
      <c r="D370" s="7"/>
      <c r="I370" s="2">
        <f t="shared" si="40"/>
        <v>0</v>
      </c>
      <c r="J370" s="2">
        <f t="shared" si="41"/>
        <v>1</v>
      </c>
    </row>
    <row r="371" spans="4:10" x14ac:dyDescent="0.2">
      <c r="D371" s="7"/>
      <c r="I371" s="2">
        <f t="shared" si="40"/>
        <v>0</v>
      </c>
      <c r="J371" s="2">
        <f t="shared" si="41"/>
        <v>1</v>
      </c>
    </row>
    <row r="372" spans="4:10" x14ac:dyDescent="0.2">
      <c r="D372" s="7"/>
      <c r="I372" s="2">
        <f t="shared" si="40"/>
        <v>0</v>
      </c>
      <c r="J372" s="2">
        <f t="shared" si="41"/>
        <v>1</v>
      </c>
    </row>
    <row r="373" spans="4:10" x14ac:dyDescent="0.2">
      <c r="D373" s="7"/>
      <c r="I373" s="2">
        <f t="shared" si="40"/>
        <v>0</v>
      </c>
      <c r="J373" s="2">
        <f t="shared" si="41"/>
        <v>1</v>
      </c>
    </row>
    <row r="374" spans="4:10" x14ac:dyDescent="0.2">
      <c r="D374" s="7"/>
      <c r="I374" s="2">
        <f t="shared" si="40"/>
        <v>0</v>
      </c>
      <c r="J374" s="2">
        <f t="shared" si="41"/>
        <v>1</v>
      </c>
    </row>
    <row r="375" spans="4:10" x14ac:dyDescent="0.2">
      <c r="D375" s="7"/>
      <c r="I375" s="2">
        <f t="shared" si="40"/>
        <v>0</v>
      </c>
      <c r="J375" s="2">
        <f t="shared" si="41"/>
        <v>1</v>
      </c>
    </row>
    <row r="376" spans="4:10" x14ac:dyDescent="0.2">
      <c r="D376" s="7"/>
      <c r="I376" s="2">
        <f t="shared" si="40"/>
        <v>0</v>
      </c>
      <c r="J376" s="2">
        <f t="shared" si="41"/>
        <v>1</v>
      </c>
    </row>
    <row r="377" spans="4:10" x14ac:dyDescent="0.2">
      <c r="D377" s="7"/>
      <c r="I377" s="2">
        <f t="shared" si="40"/>
        <v>0</v>
      </c>
      <c r="J377" s="2">
        <f t="shared" si="41"/>
        <v>1</v>
      </c>
    </row>
    <row r="378" spans="4:10" x14ac:dyDescent="0.2">
      <c r="D378" s="7"/>
      <c r="I378" s="2">
        <f t="shared" si="40"/>
        <v>0</v>
      </c>
      <c r="J378" s="2">
        <f t="shared" si="41"/>
        <v>1</v>
      </c>
    </row>
    <row r="379" spans="4:10" x14ac:dyDescent="0.2">
      <c r="D379" s="7"/>
      <c r="I379" s="2">
        <f t="shared" si="40"/>
        <v>0</v>
      </c>
      <c r="J379" s="2">
        <f t="shared" si="41"/>
        <v>1</v>
      </c>
    </row>
    <row r="380" spans="4:10" x14ac:dyDescent="0.2">
      <c r="D380" s="7"/>
      <c r="I380" s="2">
        <f t="shared" si="40"/>
        <v>0</v>
      </c>
      <c r="J380" s="2">
        <f t="shared" si="41"/>
        <v>1</v>
      </c>
    </row>
    <row r="381" spans="4:10" x14ac:dyDescent="0.2">
      <c r="D381" s="7"/>
      <c r="I381" s="2">
        <f t="shared" si="40"/>
        <v>0</v>
      </c>
      <c r="J381" s="2">
        <f t="shared" si="41"/>
        <v>1</v>
      </c>
    </row>
    <row r="382" spans="4:10" x14ac:dyDescent="0.2">
      <c r="D382" s="7"/>
      <c r="I382" s="2">
        <f t="shared" si="40"/>
        <v>0</v>
      </c>
      <c r="J382" s="2">
        <f t="shared" si="41"/>
        <v>1</v>
      </c>
    </row>
    <row r="383" spans="4:10" x14ac:dyDescent="0.2">
      <c r="D383" s="7"/>
      <c r="I383" s="2">
        <f t="shared" si="40"/>
        <v>0</v>
      </c>
      <c r="J383" s="2">
        <f t="shared" si="41"/>
        <v>1</v>
      </c>
    </row>
    <row r="384" spans="4:10" x14ac:dyDescent="0.2">
      <c r="D384" s="7"/>
      <c r="I384" s="2">
        <f t="shared" si="40"/>
        <v>0</v>
      </c>
      <c r="J384" s="2">
        <f t="shared" si="41"/>
        <v>1</v>
      </c>
    </row>
    <row r="385" spans="4:10" x14ac:dyDescent="0.2">
      <c r="D385" s="7"/>
      <c r="I385" s="2">
        <f t="shared" si="40"/>
        <v>0</v>
      </c>
      <c r="J385" s="2">
        <f t="shared" si="41"/>
        <v>1</v>
      </c>
    </row>
    <row r="386" spans="4:10" x14ac:dyDescent="0.2">
      <c r="D386" s="7"/>
      <c r="I386" s="2">
        <f t="shared" si="40"/>
        <v>0</v>
      </c>
      <c r="J386" s="2">
        <f t="shared" si="41"/>
        <v>1</v>
      </c>
    </row>
    <row r="387" spans="4:10" x14ac:dyDescent="0.2">
      <c r="D387" s="7"/>
      <c r="I387" s="2">
        <f t="shared" si="40"/>
        <v>0</v>
      </c>
      <c r="J387" s="2">
        <f t="shared" si="41"/>
        <v>1</v>
      </c>
    </row>
    <row r="388" spans="4:10" x14ac:dyDescent="0.2">
      <c r="D388" s="7"/>
      <c r="I388" s="2">
        <f t="shared" si="40"/>
        <v>0</v>
      </c>
      <c r="J388" s="2">
        <f t="shared" si="41"/>
        <v>1</v>
      </c>
    </row>
    <row r="389" spans="4:10" x14ac:dyDescent="0.2">
      <c r="D389" s="7"/>
      <c r="I389" s="2">
        <f t="shared" si="40"/>
        <v>0</v>
      </c>
      <c r="J389" s="2">
        <f t="shared" si="41"/>
        <v>1</v>
      </c>
    </row>
    <row r="390" spans="4:10" x14ac:dyDescent="0.2">
      <c r="D390" s="7"/>
      <c r="I390" s="2">
        <f t="shared" si="40"/>
        <v>0</v>
      </c>
      <c r="J390" s="2">
        <f t="shared" si="41"/>
        <v>1</v>
      </c>
    </row>
    <row r="391" spans="4:10" x14ac:dyDescent="0.2">
      <c r="D391" s="7"/>
      <c r="I391" s="2">
        <f t="shared" ref="I391:I451" si="42">DAY(A391)</f>
        <v>0</v>
      </c>
      <c r="J391" s="2">
        <f t="shared" ref="J391:J451" si="43">MONTH(A391)</f>
        <v>1</v>
      </c>
    </row>
    <row r="392" spans="4:10" x14ac:dyDescent="0.2">
      <c r="D392" s="7"/>
      <c r="I392" s="2">
        <f t="shared" si="42"/>
        <v>0</v>
      </c>
      <c r="J392" s="2">
        <f t="shared" si="43"/>
        <v>1</v>
      </c>
    </row>
    <row r="393" spans="4:10" x14ac:dyDescent="0.2">
      <c r="D393" s="7"/>
      <c r="I393" s="2">
        <f t="shared" si="42"/>
        <v>0</v>
      </c>
      <c r="J393" s="2">
        <f t="shared" si="43"/>
        <v>1</v>
      </c>
    </row>
    <row r="394" spans="4:10" x14ac:dyDescent="0.2">
      <c r="D394" s="7"/>
      <c r="I394" s="2">
        <f t="shared" si="42"/>
        <v>0</v>
      </c>
      <c r="J394" s="2">
        <f t="shared" si="43"/>
        <v>1</v>
      </c>
    </row>
    <row r="395" spans="4:10" x14ac:dyDescent="0.2">
      <c r="D395" s="7"/>
      <c r="I395" s="2">
        <f t="shared" si="42"/>
        <v>0</v>
      </c>
      <c r="J395" s="2">
        <f t="shared" si="43"/>
        <v>1</v>
      </c>
    </row>
    <row r="396" spans="4:10" x14ac:dyDescent="0.2">
      <c r="D396" s="7"/>
      <c r="I396" s="2">
        <f t="shared" si="42"/>
        <v>0</v>
      </c>
      <c r="J396" s="2">
        <f t="shared" si="43"/>
        <v>1</v>
      </c>
    </row>
    <row r="397" spans="4:10" x14ac:dyDescent="0.2">
      <c r="D397" s="7"/>
      <c r="I397" s="2">
        <f t="shared" si="42"/>
        <v>0</v>
      </c>
      <c r="J397" s="2">
        <f t="shared" si="43"/>
        <v>1</v>
      </c>
    </row>
    <row r="398" spans="4:10" x14ac:dyDescent="0.2">
      <c r="D398" s="7"/>
      <c r="I398" s="2">
        <f t="shared" si="42"/>
        <v>0</v>
      </c>
      <c r="J398" s="2">
        <f t="shared" si="43"/>
        <v>1</v>
      </c>
    </row>
    <row r="399" spans="4:10" x14ac:dyDescent="0.2">
      <c r="D399" s="7"/>
      <c r="I399" s="2">
        <f t="shared" si="42"/>
        <v>0</v>
      </c>
      <c r="J399" s="2">
        <f t="shared" si="43"/>
        <v>1</v>
      </c>
    </row>
    <row r="400" spans="4:10" x14ac:dyDescent="0.2">
      <c r="D400" s="7"/>
      <c r="I400" s="2">
        <f t="shared" si="42"/>
        <v>0</v>
      </c>
      <c r="J400" s="2">
        <f t="shared" si="43"/>
        <v>1</v>
      </c>
    </row>
    <row r="401" spans="4:10" x14ac:dyDescent="0.2">
      <c r="D401" s="7"/>
      <c r="I401" s="2">
        <f t="shared" si="42"/>
        <v>0</v>
      </c>
      <c r="J401" s="2">
        <f t="shared" si="43"/>
        <v>1</v>
      </c>
    </row>
    <row r="402" spans="4:10" x14ac:dyDescent="0.2">
      <c r="D402" s="7"/>
      <c r="I402" s="2">
        <f t="shared" si="42"/>
        <v>0</v>
      </c>
      <c r="J402" s="2">
        <f t="shared" si="43"/>
        <v>1</v>
      </c>
    </row>
    <row r="403" spans="4:10" x14ac:dyDescent="0.2">
      <c r="D403" s="7"/>
      <c r="I403" s="2">
        <f t="shared" si="42"/>
        <v>0</v>
      </c>
      <c r="J403" s="2">
        <f t="shared" si="43"/>
        <v>1</v>
      </c>
    </row>
    <row r="404" spans="4:10" x14ac:dyDescent="0.2">
      <c r="D404" s="7"/>
      <c r="I404" s="2">
        <f t="shared" si="42"/>
        <v>0</v>
      </c>
      <c r="J404" s="2">
        <f t="shared" si="43"/>
        <v>1</v>
      </c>
    </row>
    <row r="405" spans="4:10" x14ac:dyDescent="0.2">
      <c r="D405" s="7"/>
      <c r="I405" s="2">
        <f t="shared" si="42"/>
        <v>0</v>
      </c>
      <c r="J405" s="2">
        <f t="shared" si="43"/>
        <v>1</v>
      </c>
    </row>
    <row r="406" spans="4:10" x14ac:dyDescent="0.2">
      <c r="D406" s="7"/>
      <c r="I406" s="2">
        <f t="shared" si="42"/>
        <v>0</v>
      </c>
      <c r="J406" s="2">
        <f t="shared" si="43"/>
        <v>1</v>
      </c>
    </row>
    <row r="407" spans="4:10" x14ac:dyDescent="0.2">
      <c r="D407" s="7"/>
      <c r="I407" s="2">
        <f t="shared" si="42"/>
        <v>0</v>
      </c>
      <c r="J407" s="2">
        <f t="shared" si="43"/>
        <v>1</v>
      </c>
    </row>
    <row r="408" spans="4:10" x14ac:dyDescent="0.2">
      <c r="D408" s="7"/>
      <c r="I408" s="2">
        <f t="shared" si="42"/>
        <v>0</v>
      </c>
      <c r="J408" s="2">
        <f t="shared" si="43"/>
        <v>1</v>
      </c>
    </row>
    <row r="409" spans="4:10" x14ac:dyDescent="0.2">
      <c r="D409" s="7"/>
      <c r="I409" s="2">
        <f t="shared" si="42"/>
        <v>0</v>
      </c>
      <c r="J409" s="2">
        <f t="shared" si="43"/>
        <v>1</v>
      </c>
    </row>
    <row r="410" spans="4:10" x14ac:dyDescent="0.2">
      <c r="D410" s="7"/>
      <c r="I410" s="2">
        <f t="shared" si="42"/>
        <v>0</v>
      </c>
      <c r="J410" s="2">
        <f t="shared" si="43"/>
        <v>1</v>
      </c>
    </row>
    <row r="411" spans="4:10" x14ac:dyDescent="0.2">
      <c r="D411" s="7"/>
      <c r="I411" s="2">
        <f t="shared" si="42"/>
        <v>0</v>
      </c>
      <c r="J411" s="2">
        <f t="shared" si="43"/>
        <v>1</v>
      </c>
    </row>
    <row r="412" spans="4:10" x14ac:dyDescent="0.2">
      <c r="D412" s="7"/>
      <c r="I412" s="2">
        <f t="shared" si="42"/>
        <v>0</v>
      </c>
      <c r="J412" s="2">
        <f t="shared" si="43"/>
        <v>1</v>
      </c>
    </row>
    <row r="413" spans="4:10" x14ac:dyDescent="0.2">
      <c r="D413" s="7"/>
      <c r="I413" s="2">
        <f t="shared" si="42"/>
        <v>0</v>
      </c>
      <c r="J413" s="2">
        <f t="shared" si="43"/>
        <v>1</v>
      </c>
    </row>
    <row r="414" spans="4:10" x14ac:dyDescent="0.2">
      <c r="D414" s="7"/>
      <c r="I414" s="2">
        <f t="shared" si="42"/>
        <v>0</v>
      </c>
      <c r="J414" s="2">
        <f t="shared" si="43"/>
        <v>1</v>
      </c>
    </row>
    <row r="415" spans="4:10" x14ac:dyDescent="0.2">
      <c r="D415" s="7"/>
      <c r="I415" s="2">
        <f t="shared" si="42"/>
        <v>0</v>
      </c>
      <c r="J415" s="2">
        <f t="shared" si="43"/>
        <v>1</v>
      </c>
    </row>
    <row r="416" spans="4:10" x14ac:dyDescent="0.2">
      <c r="D416" s="7"/>
      <c r="I416" s="2">
        <f t="shared" si="42"/>
        <v>0</v>
      </c>
      <c r="J416" s="2">
        <f t="shared" si="43"/>
        <v>1</v>
      </c>
    </row>
    <row r="417" spans="4:10" x14ac:dyDescent="0.2">
      <c r="D417" s="7"/>
      <c r="I417" s="2">
        <f t="shared" si="42"/>
        <v>0</v>
      </c>
      <c r="J417" s="2">
        <f t="shared" si="43"/>
        <v>1</v>
      </c>
    </row>
    <row r="418" spans="4:10" x14ac:dyDescent="0.2">
      <c r="D418" s="7"/>
      <c r="I418" s="2">
        <f t="shared" si="42"/>
        <v>0</v>
      </c>
      <c r="J418" s="2">
        <f t="shared" si="43"/>
        <v>1</v>
      </c>
    </row>
    <row r="419" spans="4:10" x14ac:dyDescent="0.2">
      <c r="D419" s="7"/>
      <c r="I419" s="2">
        <f t="shared" si="42"/>
        <v>0</v>
      </c>
      <c r="J419" s="2">
        <f t="shared" si="43"/>
        <v>1</v>
      </c>
    </row>
    <row r="420" spans="4:10" x14ac:dyDescent="0.2">
      <c r="D420" s="7"/>
      <c r="I420" s="2">
        <f t="shared" si="42"/>
        <v>0</v>
      </c>
      <c r="J420" s="2">
        <f t="shared" si="43"/>
        <v>1</v>
      </c>
    </row>
    <row r="421" spans="4:10" x14ac:dyDescent="0.2">
      <c r="D421" s="7"/>
      <c r="I421" s="2">
        <f t="shared" si="42"/>
        <v>0</v>
      </c>
      <c r="J421" s="2">
        <f t="shared" si="43"/>
        <v>1</v>
      </c>
    </row>
    <row r="422" spans="4:10" x14ac:dyDescent="0.2">
      <c r="D422" s="7"/>
      <c r="I422" s="2">
        <f t="shared" si="42"/>
        <v>0</v>
      </c>
      <c r="J422" s="2">
        <f t="shared" si="43"/>
        <v>1</v>
      </c>
    </row>
    <row r="423" spans="4:10" x14ac:dyDescent="0.2">
      <c r="D423" s="7"/>
      <c r="I423" s="2">
        <f t="shared" si="42"/>
        <v>0</v>
      </c>
      <c r="J423" s="2">
        <f t="shared" si="43"/>
        <v>1</v>
      </c>
    </row>
    <row r="424" spans="4:10" x14ac:dyDescent="0.2">
      <c r="D424" s="7"/>
      <c r="I424" s="2">
        <f t="shared" si="42"/>
        <v>0</v>
      </c>
      <c r="J424" s="2">
        <f t="shared" si="43"/>
        <v>1</v>
      </c>
    </row>
    <row r="425" spans="4:10" x14ac:dyDescent="0.2">
      <c r="D425" s="7"/>
      <c r="I425" s="2">
        <f t="shared" si="42"/>
        <v>0</v>
      </c>
      <c r="J425" s="2">
        <f t="shared" si="43"/>
        <v>1</v>
      </c>
    </row>
    <row r="426" spans="4:10" x14ac:dyDescent="0.2">
      <c r="D426" s="7"/>
      <c r="I426" s="2">
        <f t="shared" si="42"/>
        <v>0</v>
      </c>
      <c r="J426" s="2">
        <f t="shared" si="43"/>
        <v>1</v>
      </c>
    </row>
    <row r="427" spans="4:10" x14ac:dyDescent="0.2">
      <c r="D427" s="7"/>
      <c r="I427" s="2">
        <f t="shared" si="42"/>
        <v>0</v>
      </c>
      <c r="J427" s="2">
        <f t="shared" si="43"/>
        <v>1</v>
      </c>
    </row>
    <row r="428" spans="4:10" x14ac:dyDescent="0.2">
      <c r="D428" s="7"/>
      <c r="I428" s="2">
        <f t="shared" si="42"/>
        <v>0</v>
      </c>
      <c r="J428" s="2">
        <f t="shared" si="43"/>
        <v>1</v>
      </c>
    </row>
    <row r="429" spans="4:10" x14ac:dyDescent="0.2">
      <c r="D429" s="7"/>
      <c r="I429" s="2">
        <f t="shared" si="42"/>
        <v>0</v>
      </c>
      <c r="J429" s="2">
        <f t="shared" si="43"/>
        <v>1</v>
      </c>
    </row>
    <row r="430" spans="4:10" x14ac:dyDescent="0.2">
      <c r="D430" s="7"/>
      <c r="I430" s="2">
        <f t="shared" si="42"/>
        <v>0</v>
      </c>
      <c r="J430" s="2">
        <f t="shared" si="43"/>
        <v>1</v>
      </c>
    </row>
    <row r="431" spans="4:10" x14ac:dyDescent="0.2">
      <c r="D431" s="7"/>
      <c r="I431" s="2">
        <f t="shared" si="42"/>
        <v>0</v>
      </c>
      <c r="J431" s="2">
        <f t="shared" si="43"/>
        <v>1</v>
      </c>
    </row>
    <row r="432" spans="4:10" x14ac:dyDescent="0.2">
      <c r="D432" s="7"/>
      <c r="I432" s="2">
        <f t="shared" si="42"/>
        <v>0</v>
      </c>
      <c r="J432" s="2">
        <f t="shared" si="43"/>
        <v>1</v>
      </c>
    </row>
    <row r="433" spans="4:10" x14ac:dyDescent="0.2">
      <c r="D433" s="7"/>
      <c r="I433" s="2">
        <f t="shared" si="42"/>
        <v>0</v>
      </c>
      <c r="J433" s="2">
        <f t="shared" si="43"/>
        <v>1</v>
      </c>
    </row>
    <row r="434" spans="4:10" x14ac:dyDescent="0.2">
      <c r="D434" s="7"/>
      <c r="I434" s="2">
        <f t="shared" si="42"/>
        <v>0</v>
      </c>
      <c r="J434" s="2">
        <f t="shared" si="43"/>
        <v>1</v>
      </c>
    </row>
    <row r="435" spans="4:10" x14ac:dyDescent="0.2">
      <c r="D435" s="7"/>
      <c r="I435" s="2">
        <f t="shared" si="42"/>
        <v>0</v>
      </c>
      <c r="J435" s="2">
        <f t="shared" si="43"/>
        <v>1</v>
      </c>
    </row>
    <row r="436" spans="4:10" x14ac:dyDescent="0.2">
      <c r="D436" s="7"/>
      <c r="I436" s="2">
        <f t="shared" si="42"/>
        <v>0</v>
      </c>
      <c r="J436" s="2">
        <f t="shared" si="43"/>
        <v>1</v>
      </c>
    </row>
    <row r="437" spans="4:10" x14ac:dyDescent="0.2">
      <c r="D437" s="7"/>
      <c r="I437" s="2">
        <f t="shared" si="42"/>
        <v>0</v>
      </c>
      <c r="J437" s="2">
        <f t="shared" si="43"/>
        <v>1</v>
      </c>
    </row>
    <row r="438" spans="4:10" x14ac:dyDescent="0.2">
      <c r="D438" s="7"/>
      <c r="I438" s="2">
        <f t="shared" si="42"/>
        <v>0</v>
      </c>
      <c r="J438" s="2">
        <f t="shared" si="43"/>
        <v>1</v>
      </c>
    </row>
    <row r="439" spans="4:10" x14ac:dyDescent="0.2">
      <c r="D439" s="7"/>
      <c r="I439" s="2">
        <f t="shared" si="42"/>
        <v>0</v>
      </c>
      <c r="J439" s="2">
        <f t="shared" si="43"/>
        <v>1</v>
      </c>
    </row>
    <row r="440" spans="4:10" x14ac:dyDescent="0.2">
      <c r="D440" s="7"/>
      <c r="I440" s="2">
        <f t="shared" si="42"/>
        <v>0</v>
      </c>
      <c r="J440" s="2">
        <f t="shared" si="43"/>
        <v>1</v>
      </c>
    </row>
    <row r="441" spans="4:10" x14ac:dyDescent="0.2">
      <c r="D441" s="7"/>
      <c r="I441" s="2">
        <f t="shared" si="42"/>
        <v>0</v>
      </c>
      <c r="J441" s="2">
        <f t="shared" si="43"/>
        <v>1</v>
      </c>
    </row>
    <row r="442" spans="4:10" x14ac:dyDescent="0.2">
      <c r="D442" s="7"/>
      <c r="I442" s="2">
        <f t="shared" si="42"/>
        <v>0</v>
      </c>
      <c r="J442" s="2">
        <f t="shared" si="43"/>
        <v>1</v>
      </c>
    </row>
    <row r="443" spans="4:10" x14ac:dyDescent="0.2">
      <c r="D443" s="7"/>
      <c r="I443" s="2">
        <f t="shared" si="42"/>
        <v>0</v>
      </c>
      <c r="J443" s="2">
        <f t="shared" si="43"/>
        <v>1</v>
      </c>
    </row>
    <row r="444" spans="4:10" x14ac:dyDescent="0.2">
      <c r="D444" s="7"/>
      <c r="I444" s="2">
        <f t="shared" si="42"/>
        <v>0</v>
      </c>
      <c r="J444" s="2">
        <f t="shared" si="43"/>
        <v>1</v>
      </c>
    </row>
    <row r="445" spans="4:10" x14ac:dyDescent="0.2">
      <c r="D445" s="7"/>
      <c r="I445" s="2">
        <f t="shared" si="42"/>
        <v>0</v>
      </c>
      <c r="J445" s="2">
        <f t="shared" si="43"/>
        <v>1</v>
      </c>
    </row>
    <row r="446" spans="4:10" x14ac:dyDescent="0.2">
      <c r="D446" s="7"/>
      <c r="I446" s="2">
        <f t="shared" si="42"/>
        <v>0</v>
      </c>
      <c r="J446" s="2">
        <f t="shared" si="43"/>
        <v>1</v>
      </c>
    </row>
    <row r="447" spans="4:10" x14ac:dyDescent="0.2">
      <c r="D447" s="7"/>
      <c r="I447" s="2">
        <f t="shared" si="42"/>
        <v>0</v>
      </c>
      <c r="J447" s="2">
        <f t="shared" si="43"/>
        <v>1</v>
      </c>
    </row>
    <row r="448" spans="4:10" x14ac:dyDescent="0.2">
      <c r="D448" s="7"/>
      <c r="I448" s="2">
        <f t="shared" si="42"/>
        <v>0</v>
      </c>
      <c r="J448" s="2">
        <f t="shared" si="43"/>
        <v>1</v>
      </c>
    </row>
    <row r="449" spans="4:10" x14ac:dyDescent="0.2">
      <c r="D449" s="7"/>
      <c r="I449" s="2">
        <f t="shared" si="42"/>
        <v>0</v>
      </c>
      <c r="J449" s="2">
        <f t="shared" si="43"/>
        <v>1</v>
      </c>
    </row>
    <row r="450" spans="4:10" x14ac:dyDescent="0.2">
      <c r="D450" s="7"/>
      <c r="I450" s="2">
        <f t="shared" si="42"/>
        <v>0</v>
      </c>
      <c r="J450" s="2">
        <f t="shared" si="43"/>
        <v>1</v>
      </c>
    </row>
    <row r="451" spans="4:10" x14ac:dyDescent="0.2">
      <c r="D451" s="7"/>
      <c r="I451" s="2">
        <f t="shared" si="42"/>
        <v>0</v>
      </c>
      <c r="J451" s="2">
        <f t="shared" si="43"/>
        <v>1</v>
      </c>
    </row>
  </sheetData>
  <autoFilter ref="A1:D451"/>
  <sortState ref="A2:K309">
    <sortCondition ref="J2:J309"/>
    <sortCondition ref="I2:I309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A13" sqref="A13"/>
    </sheetView>
  </sheetViews>
  <sheetFormatPr defaultRowHeight="12.75" x14ac:dyDescent="0.2"/>
  <cols>
    <col min="1" max="1" width="10.85546875" style="151" customWidth="1"/>
    <col min="2" max="2" width="10.28515625" bestFit="1" customWidth="1"/>
    <col min="3" max="3" width="8.140625" bestFit="1" customWidth="1"/>
    <col min="4" max="4" width="4.7109375" bestFit="1" customWidth="1"/>
    <col min="5" max="5" width="14.140625" bestFit="1" customWidth="1"/>
    <col min="6" max="6" width="2.85546875" bestFit="1" customWidth="1"/>
    <col min="7" max="8" width="1.5703125" bestFit="1" customWidth="1"/>
    <col min="9" max="9" width="3.42578125" bestFit="1" customWidth="1"/>
    <col min="10" max="10" width="5.5703125" bestFit="1" customWidth="1"/>
    <col min="11" max="11" width="35.28515625" bestFit="1" customWidth="1"/>
  </cols>
  <sheetData>
    <row r="1" spans="1:11" x14ac:dyDescent="0.2">
      <c r="A1" s="150" t="s">
        <v>1411</v>
      </c>
      <c r="B1" s="1" t="s">
        <v>1350</v>
      </c>
      <c r="C1" s="1" t="s">
        <v>250</v>
      </c>
      <c r="D1" s="1" t="s">
        <v>257</v>
      </c>
      <c r="E1" s="10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889</v>
      </c>
      <c r="K1" s="6" t="s">
        <v>264</v>
      </c>
    </row>
    <row r="2" spans="1:11" x14ac:dyDescent="0.2">
      <c r="A2" s="150">
        <v>1</v>
      </c>
      <c r="B2" s="1">
        <v>1915</v>
      </c>
      <c r="C2" s="5">
        <v>20013</v>
      </c>
      <c r="D2" s="23" t="s">
        <v>252</v>
      </c>
      <c r="E2" s="2" t="s">
        <v>981</v>
      </c>
      <c r="F2" s="23" t="s">
        <v>281</v>
      </c>
      <c r="G2" s="23">
        <v>3</v>
      </c>
      <c r="H2" s="23">
        <v>1</v>
      </c>
      <c r="I2" s="23"/>
      <c r="J2" s="149">
        <v>11964</v>
      </c>
      <c r="K2" s="113" t="s">
        <v>1415</v>
      </c>
    </row>
    <row r="3" spans="1:11" x14ac:dyDescent="0.2">
      <c r="A3" s="150"/>
      <c r="B3" s="1">
        <v>1916</v>
      </c>
      <c r="C3" s="5">
        <v>20020</v>
      </c>
      <c r="D3" s="23" t="s">
        <v>261</v>
      </c>
      <c r="E3" s="2" t="s">
        <v>580</v>
      </c>
      <c r="F3" s="23" t="s">
        <v>281</v>
      </c>
      <c r="G3" s="23">
        <v>3</v>
      </c>
      <c r="H3" s="23">
        <v>0</v>
      </c>
      <c r="I3" s="23"/>
      <c r="J3" s="149">
        <v>10395</v>
      </c>
      <c r="K3" s="113" t="s">
        <v>1373</v>
      </c>
    </row>
    <row r="4" spans="1:11" x14ac:dyDescent="0.2">
      <c r="A4" s="150"/>
      <c r="B4" s="1">
        <v>1917</v>
      </c>
      <c r="C4" s="5">
        <v>20027</v>
      </c>
      <c r="D4" s="23" t="s">
        <v>252</v>
      </c>
      <c r="E4" s="2" t="s">
        <v>1265</v>
      </c>
      <c r="F4" s="23" t="s">
        <v>281</v>
      </c>
      <c r="G4" s="23">
        <v>3</v>
      </c>
      <c r="H4" s="23">
        <v>1</v>
      </c>
      <c r="I4" s="23"/>
      <c r="J4" s="149">
        <v>9401</v>
      </c>
      <c r="K4" s="113" t="s">
        <v>1416</v>
      </c>
    </row>
    <row r="5" spans="1:11" x14ac:dyDescent="0.2">
      <c r="B5" s="1">
        <v>1918</v>
      </c>
      <c r="C5" s="5">
        <v>20034</v>
      </c>
      <c r="D5" s="23" t="s">
        <v>261</v>
      </c>
      <c r="E5" s="2" t="s">
        <v>1362</v>
      </c>
      <c r="F5" s="23" t="s">
        <v>281</v>
      </c>
      <c r="G5" s="23">
        <v>5</v>
      </c>
      <c r="H5" s="23">
        <v>4</v>
      </c>
      <c r="I5" s="23"/>
      <c r="J5" s="149">
        <v>5616</v>
      </c>
      <c r="K5" s="113" t="s">
        <v>1374</v>
      </c>
    </row>
    <row r="6" spans="1:11" x14ac:dyDescent="0.2">
      <c r="A6" s="150"/>
      <c r="B6" s="1">
        <v>1919</v>
      </c>
      <c r="C6" s="5">
        <v>20041</v>
      </c>
      <c r="D6" s="23" t="s">
        <v>252</v>
      </c>
      <c r="E6" s="2" t="s">
        <v>1417</v>
      </c>
      <c r="F6" s="23" t="s">
        <v>281</v>
      </c>
      <c r="G6" s="23">
        <v>5</v>
      </c>
      <c r="H6" s="23">
        <v>0</v>
      </c>
      <c r="I6" s="23"/>
      <c r="J6" s="149">
        <v>6824</v>
      </c>
      <c r="K6" s="113" t="s">
        <v>1418</v>
      </c>
    </row>
    <row r="7" spans="1:11" x14ac:dyDescent="0.2">
      <c r="A7" s="150"/>
      <c r="B7" s="1"/>
      <c r="C7" s="5"/>
      <c r="D7" s="23"/>
      <c r="E7" s="2"/>
      <c r="F7" s="23"/>
      <c r="G7" s="23"/>
      <c r="H7" s="23"/>
      <c r="I7" s="23"/>
      <c r="J7" s="149"/>
      <c r="K7" s="113"/>
    </row>
    <row r="8" spans="1:11" x14ac:dyDescent="0.2">
      <c r="A8" s="150">
        <v>2</v>
      </c>
      <c r="B8" s="1">
        <v>5044</v>
      </c>
      <c r="C8" s="5">
        <v>31528</v>
      </c>
      <c r="D8" s="23" t="s">
        <v>261</v>
      </c>
      <c r="E8" s="2" t="s">
        <v>1419</v>
      </c>
      <c r="F8" s="23" t="s">
        <v>254</v>
      </c>
      <c r="G8" s="23">
        <v>3</v>
      </c>
      <c r="H8" s="23">
        <v>3</v>
      </c>
      <c r="I8" s="23"/>
      <c r="J8" s="149">
        <v>2364</v>
      </c>
      <c r="K8" s="113" t="s">
        <v>1420</v>
      </c>
    </row>
    <row r="9" spans="1:11" x14ac:dyDescent="0.2">
      <c r="A9" s="150"/>
      <c r="B9" s="1">
        <v>5045</v>
      </c>
      <c r="C9" s="5">
        <v>31535</v>
      </c>
      <c r="D9" s="23" t="s">
        <v>252</v>
      </c>
      <c r="E9" s="2" t="s">
        <v>1421</v>
      </c>
      <c r="F9" s="23" t="s">
        <v>281</v>
      </c>
      <c r="G9" s="23">
        <v>3</v>
      </c>
      <c r="H9" s="23">
        <v>1</v>
      </c>
      <c r="I9" s="23"/>
      <c r="J9" s="149">
        <v>3132</v>
      </c>
      <c r="K9" s="113" t="s">
        <v>1422</v>
      </c>
    </row>
    <row r="10" spans="1:11" x14ac:dyDescent="0.2">
      <c r="A10" s="150"/>
      <c r="B10" s="1">
        <v>5046</v>
      </c>
      <c r="C10" s="5">
        <v>31538</v>
      </c>
      <c r="D10" s="23" t="s">
        <v>252</v>
      </c>
      <c r="E10" s="2" t="s">
        <v>1423</v>
      </c>
      <c r="F10" s="23" t="s">
        <v>281</v>
      </c>
      <c r="G10" s="23">
        <v>3</v>
      </c>
      <c r="H10" s="23">
        <v>0</v>
      </c>
      <c r="I10" s="23"/>
      <c r="J10" s="149">
        <v>3370</v>
      </c>
      <c r="K10" s="113" t="s">
        <v>1424</v>
      </c>
    </row>
    <row r="11" spans="1:11" x14ac:dyDescent="0.2">
      <c r="A11" s="150"/>
      <c r="B11" s="1">
        <v>5101</v>
      </c>
      <c r="C11" s="5">
        <v>31647</v>
      </c>
      <c r="D11" s="23" t="s">
        <v>252</v>
      </c>
      <c r="E11" s="2" t="s">
        <v>981</v>
      </c>
      <c r="F11" s="23" t="s">
        <v>281</v>
      </c>
      <c r="G11" s="23">
        <v>3</v>
      </c>
      <c r="H11" s="23">
        <v>1</v>
      </c>
      <c r="I11" s="23"/>
      <c r="J11" s="149">
        <v>4382</v>
      </c>
      <c r="K11" s="113" t="s">
        <v>1425</v>
      </c>
    </row>
    <row r="12" spans="1:11" x14ac:dyDescent="0.2">
      <c r="A12" s="150"/>
    </row>
    <row r="13" spans="1:11" x14ac:dyDescent="0.2">
      <c r="A13" s="150">
        <v>3</v>
      </c>
      <c r="B13" s="134">
        <v>8622</v>
      </c>
      <c r="C13" s="135">
        <v>44597</v>
      </c>
      <c r="D13" s="134" t="s">
        <v>261</v>
      </c>
      <c r="E13" s="136" t="s">
        <v>1402</v>
      </c>
      <c r="F13" s="134" t="s">
        <v>281</v>
      </c>
      <c r="G13" s="134">
        <v>3</v>
      </c>
      <c r="H13" s="134">
        <v>0</v>
      </c>
      <c r="I13" s="137" t="s">
        <v>1161</v>
      </c>
      <c r="J13" s="138">
        <v>1250</v>
      </c>
      <c r="K13" s="139" t="s">
        <v>1409</v>
      </c>
    </row>
    <row r="14" spans="1:11" x14ac:dyDescent="0.2">
      <c r="A14" s="150"/>
      <c r="B14" s="134">
        <v>8623</v>
      </c>
      <c r="C14" s="135">
        <v>44601</v>
      </c>
      <c r="D14" s="134" t="s">
        <v>261</v>
      </c>
      <c r="E14" s="136" t="s">
        <v>1335</v>
      </c>
      <c r="F14" s="134" t="s">
        <v>281</v>
      </c>
      <c r="G14" s="134">
        <v>4</v>
      </c>
      <c r="H14" s="134">
        <v>2</v>
      </c>
      <c r="I14" s="137" t="s">
        <v>1405</v>
      </c>
      <c r="J14" s="138">
        <v>866</v>
      </c>
      <c r="K14" s="139" t="s">
        <v>1410</v>
      </c>
    </row>
    <row r="15" spans="1:11" x14ac:dyDescent="0.2">
      <c r="A15" s="150"/>
      <c r="B15" s="134">
        <v>8624</v>
      </c>
      <c r="C15" s="135">
        <v>44607</v>
      </c>
      <c r="D15" s="134" t="s">
        <v>252</v>
      </c>
      <c r="E15" s="136" t="s">
        <v>1412</v>
      </c>
      <c r="F15" s="134" t="s">
        <v>281</v>
      </c>
      <c r="G15" s="134">
        <v>3</v>
      </c>
      <c r="H15" s="134">
        <v>1</v>
      </c>
      <c r="I15" s="137" t="s">
        <v>1161</v>
      </c>
      <c r="J15" s="138">
        <v>2402</v>
      </c>
      <c r="K15" s="139" t="s">
        <v>1413</v>
      </c>
    </row>
    <row r="16" spans="1:11" x14ac:dyDescent="0.2">
      <c r="A16" s="150"/>
      <c r="B16" s="134">
        <v>8625</v>
      </c>
      <c r="C16" s="135">
        <v>44618</v>
      </c>
      <c r="D16" s="134" t="s">
        <v>252</v>
      </c>
      <c r="E16" s="136" t="s">
        <v>1329</v>
      </c>
      <c r="F16" s="134" t="s">
        <v>281</v>
      </c>
      <c r="G16" s="134">
        <v>3</v>
      </c>
      <c r="H16" s="134">
        <v>0</v>
      </c>
      <c r="I16" s="137" t="s">
        <v>359</v>
      </c>
      <c r="J16" s="138">
        <v>3621</v>
      </c>
      <c r="K16" s="139" t="s">
        <v>1414</v>
      </c>
    </row>
    <row r="17" spans="1:1" x14ac:dyDescent="0.2">
      <c r="A17" s="150"/>
    </row>
    <row r="18" spans="1:1" x14ac:dyDescent="0.2">
      <c r="A18" s="150"/>
    </row>
    <row r="19" spans="1:1" x14ac:dyDescent="0.2">
      <c r="A19" s="150"/>
    </row>
    <row r="20" spans="1:1" x14ac:dyDescent="0.2">
      <c r="A20" s="150"/>
    </row>
    <row r="21" spans="1:1" x14ac:dyDescent="0.2">
      <c r="A21" s="150"/>
    </row>
    <row r="22" spans="1:1" x14ac:dyDescent="0.2">
      <c r="A22" s="150"/>
    </row>
    <row r="23" spans="1:1" x14ac:dyDescent="0.2">
      <c r="A23" s="150"/>
    </row>
    <row r="24" spans="1:1" x14ac:dyDescent="0.2">
      <c r="A24" s="150"/>
    </row>
    <row r="25" spans="1:1" x14ac:dyDescent="0.2">
      <c r="A25" s="150"/>
    </row>
    <row r="26" spans="1:1" x14ac:dyDescent="0.2">
      <c r="A26" s="150"/>
    </row>
    <row r="27" spans="1:1" x14ac:dyDescent="0.2">
      <c r="A27" s="150"/>
    </row>
    <row r="28" spans="1:1" x14ac:dyDescent="0.2">
      <c r="A28" s="150"/>
    </row>
    <row r="29" spans="1:1" x14ac:dyDescent="0.2">
      <c r="A29" s="150"/>
    </row>
    <row r="30" spans="1:1" x14ac:dyDescent="0.2">
      <c r="A30" s="150"/>
    </row>
    <row r="31" spans="1:1" x14ac:dyDescent="0.2">
      <c r="A31" s="150"/>
    </row>
    <row r="32" spans="1:1" x14ac:dyDescent="0.2">
      <c r="A32" s="150"/>
    </row>
    <row r="33" spans="1:1" x14ac:dyDescent="0.2">
      <c r="A33" s="150"/>
    </row>
    <row r="34" spans="1:1" x14ac:dyDescent="0.2">
      <c r="A34" s="150"/>
    </row>
    <row r="35" spans="1:1" x14ac:dyDescent="0.2">
      <c r="A35" s="150"/>
    </row>
    <row r="36" spans="1:1" x14ac:dyDescent="0.2">
      <c r="A36" s="150"/>
    </row>
    <row r="37" spans="1:1" x14ac:dyDescent="0.2">
      <c r="A37" s="150"/>
    </row>
    <row r="38" spans="1:1" x14ac:dyDescent="0.2">
      <c r="A38" s="150"/>
    </row>
    <row r="39" spans="1:1" x14ac:dyDescent="0.2">
      <c r="A39" s="150"/>
    </row>
    <row r="40" spans="1:1" x14ac:dyDescent="0.2">
      <c r="A40" s="150"/>
    </row>
    <row r="41" spans="1:1" x14ac:dyDescent="0.2">
      <c r="A41" s="150"/>
    </row>
    <row r="42" spans="1:1" x14ac:dyDescent="0.2">
      <c r="A42" s="150"/>
    </row>
    <row r="43" spans="1:1" x14ac:dyDescent="0.2">
      <c r="A43" s="150"/>
    </row>
    <row r="44" spans="1:1" x14ac:dyDescent="0.2">
      <c r="A44" s="150"/>
    </row>
    <row r="45" spans="1:1" x14ac:dyDescent="0.2">
      <c r="A45" s="150"/>
    </row>
    <row r="46" spans="1:1" x14ac:dyDescent="0.2">
      <c r="A46" s="150"/>
    </row>
    <row r="47" spans="1:1" x14ac:dyDescent="0.2">
      <c r="A47" s="150"/>
    </row>
    <row r="48" spans="1:1" x14ac:dyDescent="0.2">
      <c r="A48" s="150"/>
    </row>
    <row r="49" spans="1:1" x14ac:dyDescent="0.2">
      <c r="A49" s="150"/>
    </row>
  </sheetData>
  <conditionalFormatting sqref="E8:E11">
    <cfRule type="cellIs" dxfId="1" priority="1" stopIfTrue="1" operator="equal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45"/>
  <sheetViews>
    <sheetView zoomScale="125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8" sqref="A18"/>
    </sheetView>
  </sheetViews>
  <sheetFormatPr defaultColWidth="9.140625" defaultRowHeight="11.25" x14ac:dyDescent="0.2"/>
  <cols>
    <col min="1" max="1" width="3.42578125" style="23" customWidth="1"/>
    <col min="2" max="2" width="15.28515625" style="2" customWidth="1"/>
    <col min="3" max="3" width="9.28515625" style="23" customWidth="1"/>
    <col min="4" max="4" width="4.7109375" style="23" customWidth="1"/>
    <col min="5" max="5" width="5.28515625" style="23" customWidth="1"/>
    <col min="6" max="6" width="4.7109375" style="23" bestFit="1" customWidth="1"/>
    <col min="7" max="7" width="9.28515625" style="23" bestFit="1" customWidth="1"/>
    <col min="8" max="8" width="7.140625" style="2" bestFit="1" customWidth="1"/>
    <col min="9" max="9" width="7.42578125" style="2" bestFit="1" customWidth="1"/>
    <col min="10" max="16384" width="9.140625" style="2"/>
  </cols>
  <sheetData>
    <row r="1" spans="1:9" x14ac:dyDescent="0.2">
      <c r="A1" s="1"/>
      <c r="B1" s="18" t="s">
        <v>18</v>
      </c>
      <c r="C1" s="19" t="s">
        <v>19</v>
      </c>
      <c r="D1" s="19" t="s">
        <v>57</v>
      </c>
      <c r="E1" s="19" t="s">
        <v>1632</v>
      </c>
      <c r="F1" s="19" t="s">
        <v>23</v>
      </c>
      <c r="G1" s="1"/>
      <c r="H1" s="110"/>
      <c r="I1" s="110"/>
    </row>
    <row r="2" spans="1:9" x14ac:dyDescent="0.2">
      <c r="A2" s="1"/>
      <c r="F2" s="1"/>
      <c r="G2" s="1"/>
      <c r="H2" s="110"/>
      <c r="I2" s="110"/>
    </row>
    <row r="3" spans="1:9" x14ac:dyDescent="0.2">
      <c r="A3" s="19">
        <v>1</v>
      </c>
      <c r="B3" s="2" t="s">
        <v>431</v>
      </c>
      <c r="C3" s="23" t="s">
        <v>58</v>
      </c>
      <c r="D3" s="23">
        <v>538</v>
      </c>
      <c r="E3" s="23">
        <v>1</v>
      </c>
      <c r="F3" s="19">
        <f>D3+E3</f>
        <v>539</v>
      </c>
    </row>
    <row r="4" spans="1:9" x14ac:dyDescent="0.2">
      <c r="A4" s="19">
        <f t="shared" ref="A4:A9" si="0">A3+1</f>
        <v>2</v>
      </c>
      <c r="B4" s="2" t="s">
        <v>432</v>
      </c>
      <c r="C4" s="23" t="s">
        <v>55</v>
      </c>
      <c r="D4" s="23">
        <v>481</v>
      </c>
      <c r="E4" s="23">
        <v>12</v>
      </c>
      <c r="F4" s="19">
        <f t="shared" ref="F4:F9" si="1">D4+E4</f>
        <v>493</v>
      </c>
      <c r="H4" s="110"/>
    </row>
    <row r="5" spans="1:9" x14ac:dyDescent="0.2">
      <c r="A5" s="19">
        <f t="shared" si="0"/>
        <v>3</v>
      </c>
      <c r="B5" s="2" t="s">
        <v>433</v>
      </c>
      <c r="C5" s="23" t="s">
        <v>59</v>
      </c>
      <c r="D5" s="23">
        <v>461</v>
      </c>
      <c r="E5" s="23">
        <v>2</v>
      </c>
      <c r="F5" s="19">
        <f t="shared" si="1"/>
        <v>463</v>
      </c>
    </row>
    <row r="6" spans="1:9" x14ac:dyDescent="0.2">
      <c r="A6" s="19">
        <f t="shared" si="0"/>
        <v>4</v>
      </c>
      <c r="B6" s="2" t="s">
        <v>434</v>
      </c>
      <c r="C6" s="23" t="s">
        <v>34</v>
      </c>
      <c r="D6" s="23">
        <v>428</v>
      </c>
      <c r="E6" s="23">
        <v>7</v>
      </c>
      <c r="F6" s="19">
        <f t="shared" si="1"/>
        <v>435</v>
      </c>
    </row>
    <row r="7" spans="1:9" x14ac:dyDescent="0.2">
      <c r="A7" s="19">
        <f t="shared" si="0"/>
        <v>5</v>
      </c>
      <c r="B7" s="2" t="s">
        <v>435</v>
      </c>
      <c r="C7" s="23" t="s">
        <v>25</v>
      </c>
      <c r="D7" s="23">
        <v>428</v>
      </c>
      <c r="F7" s="19">
        <f t="shared" si="1"/>
        <v>428</v>
      </c>
    </row>
    <row r="8" spans="1:9" x14ac:dyDescent="0.2">
      <c r="A8" s="19">
        <f t="shared" si="0"/>
        <v>6</v>
      </c>
      <c r="B8" s="2" t="s">
        <v>436</v>
      </c>
      <c r="C8" s="23" t="s">
        <v>179</v>
      </c>
      <c r="D8" s="23">
        <v>395</v>
      </c>
      <c r="E8" s="23">
        <v>19</v>
      </c>
      <c r="F8" s="19">
        <f t="shared" si="1"/>
        <v>414</v>
      </c>
      <c r="H8" s="110"/>
      <c r="I8" s="77"/>
    </row>
    <row r="9" spans="1:9" x14ac:dyDescent="0.2">
      <c r="A9" s="19">
        <f t="shared" si="0"/>
        <v>7</v>
      </c>
      <c r="B9" s="2" t="s">
        <v>437</v>
      </c>
      <c r="C9" s="23" t="s">
        <v>33</v>
      </c>
      <c r="D9" s="23">
        <v>371</v>
      </c>
      <c r="E9" s="23">
        <v>42</v>
      </c>
      <c r="F9" s="19">
        <f t="shared" si="1"/>
        <v>413</v>
      </c>
    </row>
    <row r="10" spans="1:9" x14ac:dyDescent="0.2">
      <c r="A10" s="19">
        <f t="shared" ref="A10:A18" si="2">A9+1</f>
        <v>8</v>
      </c>
      <c r="B10" s="2" t="s">
        <v>438</v>
      </c>
      <c r="C10" s="23" t="s">
        <v>25</v>
      </c>
      <c r="D10" s="23">
        <v>402</v>
      </c>
      <c r="F10" s="19">
        <f>D10+E10</f>
        <v>402</v>
      </c>
    </row>
    <row r="11" spans="1:9" x14ac:dyDescent="0.2">
      <c r="A11" s="19">
        <f t="shared" si="2"/>
        <v>9</v>
      </c>
      <c r="B11" s="2" t="s">
        <v>439</v>
      </c>
      <c r="C11" s="23" t="s">
        <v>164</v>
      </c>
      <c r="D11" s="23">
        <v>386</v>
      </c>
      <c r="E11" s="23">
        <v>4</v>
      </c>
      <c r="F11" s="19">
        <f>D11+E11</f>
        <v>390</v>
      </c>
    </row>
    <row r="12" spans="1:9" x14ac:dyDescent="0.2">
      <c r="A12" s="19">
        <f t="shared" si="2"/>
        <v>10</v>
      </c>
      <c r="B12" s="2" t="s">
        <v>1121</v>
      </c>
      <c r="C12" s="23" t="s">
        <v>1150</v>
      </c>
      <c r="D12" s="23">
        <v>356</v>
      </c>
      <c r="E12" s="23">
        <v>27</v>
      </c>
      <c r="F12" s="19">
        <f>D12+E12</f>
        <v>383</v>
      </c>
    </row>
    <row r="13" spans="1:9" x14ac:dyDescent="0.2">
      <c r="A13" s="19">
        <f t="shared" si="2"/>
        <v>11</v>
      </c>
      <c r="B13" s="2" t="s">
        <v>440</v>
      </c>
      <c r="C13" s="23" t="s">
        <v>36</v>
      </c>
      <c r="D13" s="23">
        <v>380</v>
      </c>
      <c r="F13" s="19">
        <f t="shared" ref="F13:F18" si="3">D13+E13</f>
        <v>380</v>
      </c>
      <c r="G13" s="2"/>
    </row>
    <row r="14" spans="1:9" x14ac:dyDescent="0.2">
      <c r="A14" s="19">
        <f t="shared" si="2"/>
        <v>12</v>
      </c>
      <c r="B14" s="2" t="s">
        <v>441</v>
      </c>
      <c r="C14" s="23" t="s">
        <v>54</v>
      </c>
      <c r="D14" s="23">
        <v>354</v>
      </c>
      <c r="E14" s="23">
        <v>12</v>
      </c>
      <c r="F14" s="19">
        <f t="shared" si="3"/>
        <v>366</v>
      </c>
    </row>
    <row r="15" spans="1:9" x14ac:dyDescent="0.2">
      <c r="A15" s="19" t="s">
        <v>1633</v>
      </c>
      <c r="B15" s="2" t="s">
        <v>442</v>
      </c>
      <c r="C15" s="23" t="s">
        <v>40</v>
      </c>
      <c r="D15" s="23">
        <v>354</v>
      </c>
      <c r="F15" s="19">
        <f>D15+E15</f>
        <v>354</v>
      </c>
    </row>
    <row r="16" spans="1:9" x14ac:dyDescent="0.2">
      <c r="A16" s="19" t="s">
        <v>1633</v>
      </c>
      <c r="B16" s="2" t="s">
        <v>443</v>
      </c>
      <c r="C16" s="23" t="s">
        <v>47</v>
      </c>
      <c r="D16" s="23">
        <v>334</v>
      </c>
      <c r="E16" s="23">
        <v>20</v>
      </c>
      <c r="F16" s="19">
        <f>D16+E16</f>
        <v>354</v>
      </c>
    </row>
    <row r="17" spans="1:7" x14ac:dyDescent="0.2">
      <c r="A17" s="19">
        <v>15</v>
      </c>
      <c r="B17" s="2" t="s">
        <v>444</v>
      </c>
      <c r="C17" s="23" t="s">
        <v>165</v>
      </c>
      <c r="D17" s="23">
        <v>351</v>
      </c>
      <c r="F17" s="19">
        <f t="shared" si="3"/>
        <v>351</v>
      </c>
    </row>
    <row r="18" spans="1:7" x14ac:dyDescent="0.2">
      <c r="A18" s="19">
        <f t="shared" si="2"/>
        <v>16</v>
      </c>
      <c r="B18" s="2" t="s">
        <v>445</v>
      </c>
      <c r="C18" s="23" t="s">
        <v>166</v>
      </c>
      <c r="D18" s="23">
        <v>338</v>
      </c>
      <c r="F18" s="19">
        <f t="shared" si="3"/>
        <v>338</v>
      </c>
    </row>
    <row r="19" spans="1:7" x14ac:dyDescent="0.2">
      <c r="D19" s="2"/>
      <c r="E19" s="2"/>
      <c r="F19" s="2"/>
    </row>
    <row r="20" spans="1:7" x14ac:dyDescent="0.2">
      <c r="B20" s="10" t="s">
        <v>447</v>
      </c>
      <c r="D20" s="2"/>
      <c r="E20" s="2"/>
      <c r="F20" s="2"/>
    </row>
    <row r="21" spans="1:7" x14ac:dyDescent="0.2">
      <c r="B21" s="2" t="s">
        <v>430</v>
      </c>
      <c r="C21" s="111">
        <v>10834</v>
      </c>
      <c r="D21" s="2"/>
      <c r="E21" s="2" t="s">
        <v>446</v>
      </c>
      <c r="F21" s="2"/>
    </row>
    <row r="22" spans="1:7" x14ac:dyDescent="0.2">
      <c r="D22" s="2"/>
      <c r="E22" s="2"/>
      <c r="F22" s="2"/>
    </row>
    <row r="23" spans="1:7" x14ac:dyDescent="0.2">
      <c r="B23" s="10" t="s">
        <v>448</v>
      </c>
      <c r="D23" s="2"/>
      <c r="E23" s="2"/>
      <c r="F23" s="2"/>
    </row>
    <row r="24" spans="1:7" x14ac:dyDescent="0.2">
      <c r="B24" s="2" t="s">
        <v>998</v>
      </c>
      <c r="C24" s="111">
        <v>41027</v>
      </c>
      <c r="D24" s="2"/>
      <c r="E24" s="2" t="s">
        <v>1000</v>
      </c>
      <c r="F24" s="2"/>
    </row>
    <row r="25" spans="1:7" x14ac:dyDescent="0.2">
      <c r="B25" s="2" t="s">
        <v>449</v>
      </c>
      <c r="C25" s="111">
        <v>18389</v>
      </c>
      <c r="D25" s="2"/>
      <c r="E25" s="2" t="s">
        <v>450</v>
      </c>
      <c r="F25" s="2"/>
    </row>
    <row r="26" spans="1:7" x14ac:dyDescent="0.2">
      <c r="D26" s="2"/>
      <c r="E26" s="2"/>
      <c r="F26" s="2"/>
    </row>
    <row r="28" spans="1:7" x14ac:dyDescent="0.2">
      <c r="F28" s="19"/>
    </row>
    <row r="29" spans="1:7" x14ac:dyDescent="0.2">
      <c r="D29" s="2"/>
      <c r="E29" s="2"/>
      <c r="F29" s="2"/>
    </row>
    <row r="30" spans="1:7" x14ac:dyDescent="0.2">
      <c r="D30" s="2"/>
      <c r="E30" s="2"/>
      <c r="F30" s="2"/>
    </row>
    <row r="31" spans="1:7" x14ac:dyDescent="0.2">
      <c r="D31" s="2"/>
      <c r="E31" s="2"/>
      <c r="F31" s="2"/>
    </row>
    <row r="32" spans="1:7" x14ac:dyDescent="0.2">
      <c r="D32" s="2"/>
      <c r="E32" s="2"/>
      <c r="F32" s="2"/>
      <c r="G32" s="2"/>
    </row>
    <row r="33" spans="4:7" x14ac:dyDescent="0.2">
      <c r="D33" s="2"/>
      <c r="E33" s="2"/>
      <c r="F33" s="2"/>
      <c r="G33" s="2"/>
    </row>
    <row r="34" spans="4:7" x14ac:dyDescent="0.2">
      <c r="D34" s="2"/>
      <c r="E34" s="2"/>
      <c r="F34" s="2"/>
      <c r="G34" s="2"/>
    </row>
    <row r="35" spans="4:7" x14ac:dyDescent="0.2">
      <c r="D35" s="2"/>
      <c r="E35" s="2"/>
      <c r="F35" s="2"/>
      <c r="G35" s="2"/>
    </row>
    <row r="36" spans="4:7" x14ac:dyDescent="0.2">
      <c r="D36" s="2"/>
      <c r="E36" s="2"/>
      <c r="F36" s="2"/>
      <c r="G36" s="2"/>
    </row>
    <row r="37" spans="4:7" x14ac:dyDescent="0.2">
      <c r="D37" s="2"/>
      <c r="E37" s="2"/>
      <c r="F37" s="2"/>
      <c r="G37" s="2"/>
    </row>
    <row r="38" spans="4:7" x14ac:dyDescent="0.2">
      <c r="D38" s="2"/>
      <c r="E38" s="2"/>
      <c r="F38" s="2"/>
      <c r="G38" s="2"/>
    </row>
    <row r="39" spans="4:7" x14ac:dyDescent="0.2">
      <c r="D39" s="2"/>
      <c r="E39" s="2"/>
      <c r="F39" s="2"/>
      <c r="G39" s="2"/>
    </row>
    <row r="40" spans="4:7" x14ac:dyDescent="0.2">
      <c r="D40" s="2"/>
      <c r="E40" s="2"/>
      <c r="F40" s="2"/>
      <c r="G40" s="2"/>
    </row>
    <row r="41" spans="4:7" x14ac:dyDescent="0.2">
      <c r="D41" s="2"/>
      <c r="E41" s="2"/>
      <c r="F41" s="2"/>
      <c r="G41" s="2"/>
    </row>
    <row r="42" spans="4:7" x14ac:dyDescent="0.2">
      <c r="D42" s="2"/>
      <c r="E42" s="2"/>
      <c r="F42" s="2"/>
      <c r="G42" s="2"/>
    </row>
    <row r="43" spans="4:7" x14ac:dyDescent="0.2">
      <c r="D43" s="2"/>
      <c r="E43" s="2"/>
      <c r="F43" s="2"/>
      <c r="G43" s="2"/>
    </row>
    <row r="44" spans="4:7" x14ac:dyDescent="0.2">
      <c r="D44" s="2"/>
      <c r="E44" s="2"/>
      <c r="F44" s="2"/>
      <c r="G44" s="2"/>
    </row>
    <row r="45" spans="4:7" x14ac:dyDescent="0.2">
      <c r="D45" s="2"/>
      <c r="E45" s="2"/>
      <c r="F45" s="2"/>
      <c r="G45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1.25" x14ac:dyDescent="0.2"/>
  <cols>
    <col min="1" max="1" width="2.42578125" style="2" customWidth="1"/>
    <col min="2" max="2" width="12.85546875" style="2" bestFit="1" customWidth="1"/>
    <col min="3" max="3" width="6.7109375" style="23" bestFit="1" customWidth="1"/>
    <col min="4" max="4" width="3.85546875" style="23" bestFit="1" customWidth="1"/>
    <col min="5" max="5" width="6.42578125" style="2" customWidth="1"/>
    <col min="6" max="6" width="12.28515625" style="2" bestFit="1" customWidth="1"/>
    <col min="7" max="7" width="8.5703125" style="2" bestFit="1" customWidth="1"/>
    <col min="8" max="8" width="12.28515625" style="2" bestFit="1" customWidth="1"/>
    <col min="9" max="9" width="9.140625" style="113"/>
    <col min="10" max="16384" width="9.140625" style="2"/>
  </cols>
  <sheetData>
    <row r="1" spans="1:10" x14ac:dyDescent="0.2">
      <c r="A1" s="10"/>
      <c r="B1" s="18" t="s">
        <v>18</v>
      </c>
      <c r="C1" s="19" t="s">
        <v>176</v>
      </c>
      <c r="D1" s="19"/>
      <c r="E1" s="28"/>
      <c r="F1" s="18" t="s">
        <v>18</v>
      </c>
      <c r="G1" s="19" t="s">
        <v>178</v>
      </c>
      <c r="H1" s="18" t="s">
        <v>480</v>
      </c>
      <c r="I1" s="21" t="s">
        <v>250</v>
      </c>
    </row>
    <row r="2" spans="1:10" x14ac:dyDescent="0.2">
      <c r="A2" s="10">
        <v>1</v>
      </c>
      <c r="B2" s="2" t="s">
        <v>52</v>
      </c>
      <c r="C2" s="112">
        <v>950000</v>
      </c>
      <c r="E2" s="10">
        <v>1</v>
      </c>
      <c r="F2" s="2" t="s">
        <v>484</v>
      </c>
      <c r="G2" s="112">
        <v>140000</v>
      </c>
      <c r="H2" s="2" t="s">
        <v>481</v>
      </c>
      <c r="I2" s="15">
        <v>35061</v>
      </c>
      <c r="J2" s="12"/>
    </row>
    <row r="3" spans="1:10" x14ac:dyDescent="0.2">
      <c r="A3" s="10">
        <v>2</v>
      </c>
      <c r="B3" s="2" t="s">
        <v>167</v>
      </c>
      <c r="C3" s="112">
        <v>830000</v>
      </c>
      <c r="E3" s="10">
        <v>2</v>
      </c>
      <c r="F3" s="2" t="s">
        <v>485</v>
      </c>
      <c r="G3" s="112">
        <v>100000</v>
      </c>
      <c r="H3" s="2" t="s">
        <v>482</v>
      </c>
      <c r="I3" s="15">
        <v>36357</v>
      </c>
      <c r="J3" s="12"/>
    </row>
    <row r="4" spans="1:10" x14ac:dyDescent="0.2">
      <c r="A4" s="10">
        <v>3</v>
      </c>
      <c r="B4" s="2" t="s">
        <v>168</v>
      </c>
      <c r="C4" s="112">
        <v>700000</v>
      </c>
      <c r="E4" s="10">
        <v>3</v>
      </c>
      <c r="F4" s="2" t="s">
        <v>486</v>
      </c>
      <c r="G4" s="112">
        <v>90000</v>
      </c>
      <c r="H4" s="2" t="s">
        <v>483</v>
      </c>
      <c r="I4" s="15">
        <v>34950</v>
      </c>
      <c r="J4" s="12"/>
    </row>
    <row r="5" spans="1:10" x14ac:dyDescent="0.2">
      <c r="A5" s="10">
        <v>4</v>
      </c>
      <c r="B5" s="2" t="s">
        <v>169</v>
      </c>
      <c r="C5" s="112">
        <v>650000</v>
      </c>
      <c r="E5" s="10">
        <v>4</v>
      </c>
      <c r="F5" s="2" t="s">
        <v>487</v>
      </c>
      <c r="G5" s="112">
        <v>85000</v>
      </c>
      <c r="H5" s="2" t="s">
        <v>493</v>
      </c>
      <c r="I5" s="15">
        <v>35461</v>
      </c>
      <c r="J5" s="12"/>
    </row>
    <row r="6" spans="1:10" x14ac:dyDescent="0.2">
      <c r="A6" s="10">
        <v>5</v>
      </c>
      <c r="B6" s="2" t="s">
        <v>170</v>
      </c>
      <c r="C6" s="112">
        <v>650000</v>
      </c>
      <c r="D6" s="23" t="s">
        <v>177</v>
      </c>
      <c r="E6" s="10">
        <v>5</v>
      </c>
      <c r="F6" s="2" t="s">
        <v>488</v>
      </c>
      <c r="G6" s="112">
        <v>80000</v>
      </c>
      <c r="H6" s="2" t="s">
        <v>495</v>
      </c>
      <c r="I6" s="15">
        <v>36486</v>
      </c>
      <c r="J6" s="12"/>
    </row>
    <row r="7" spans="1:10" x14ac:dyDescent="0.2">
      <c r="A7" s="10">
        <v>6</v>
      </c>
      <c r="B7" s="2" t="s">
        <v>31</v>
      </c>
      <c r="C7" s="112">
        <v>350000</v>
      </c>
      <c r="E7" s="10">
        <v>6</v>
      </c>
      <c r="F7" s="2" t="s">
        <v>492</v>
      </c>
      <c r="G7" s="112">
        <v>80000</v>
      </c>
      <c r="H7" s="2" t="s">
        <v>494</v>
      </c>
      <c r="I7" s="15">
        <v>35480</v>
      </c>
      <c r="J7" s="12"/>
    </row>
    <row r="8" spans="1:10" x14ac:dyDescent="0.2">
      <c r="A8" s="10">
        <v>7</v>
      </c>
      <c r="B8" s="2" t="s">
        <v>171</v>
      </c>
      <c r="C8" s="112">
        <v>300000</v>
      </c>
      <c r="E8" s="10">
        <v>7</v>
      </c>
      <c r="F8" s="2" t="s">
        <v>489</v>
      </c>
      <c r="G8" s="112">
        <v>75000</v>
      </c>
      <c r="H8" s="2" t="s">
        <v>496</v>
      </c>
      <c r="I8" s="15">
        <v>35152</v>
      </c>
      <c r="J8" s="12"/>
    </row>
    <row r="9" spans="1:10" x14ac:dyDescent="0.2">
      <c r="A9" s="10">
        <v>8</v>
      </c>
      <c r="B9" s="2" t="s">
        <v>172</v>
      </c>
      <c r="C9" s="112">
        <v>150000</v>
      </c>
      <c r="E9" s="10">
        <v>8</v>
      </c>
      <c r="F9" s="2" t="s">
        <v>490</v>
      </c>
      <c r="G9" s="112">
        <v>75000</v>
      </c>
      <c r="H9" s="2" t="s">
        <v>497</v>
      </c>
      <c r="I9" s="15">
        <v>35515</v>
      </c>
      <c r="J9" s="12"/>
    </row>
    <row r="10" spans="1:10" x14ac:dyDescent="0.2">
      <c r="A10" s="10">
        <v>9</v>
      </c>
      <c r="B10" s="2" t="s">
        <v>56</v>
      </c>
      <c r="C10" s="112">
        <v>150000</v>
      </c>
      <c r="E10" s="10">
        <v>9</v>
      </c>
      <c r="F10" s="2" t="s">
        <v>491</v>
      </c>
      <c r="G10" s="112">
        <v>70000</v>
      </c>
      <c r="H10" s="2" t="s">
        <v>505</v>
      </c>
      <c r="I10" s="15">
        <v>36018</v>
      </c>
      <c r="J10" s="12"/>
    </row>
    <row r="11" spans="1:10" x14ac:dyDescent="0.2">
      <c r="A11" s="10">
        <v>10</v>
      </c>
      <c r="B11" s="2" t="s">
        <v>173</v>
      </c>
      <c r="C11" s="112">
        <v>150000</v>
      </c>
    </row>
    <row r="12" spans="1:10" x14ac:dyDescent="0.2">
      <c r="A12" s="10">
        <v>11</v>
      </c>
      <c r="B12" s="2" t="s">
        <v>174</v>
      </c>
      <c r="C12" s="112">
        <v>100000</v>
      </c>
    </row>
    <row r="13" spans="1:10" x14ac:dyDescent="0.2">
      <c r="A13" s="10">
        <v>12</v>
      </c>
      <c r="B13" s="2" t="s">
        <v>175</v>
      </c>
      <c r="C13" s="112">
        <v>100000</v>
      </c>
    </row>
    <row r="14" spans="1:10" x14ac:dyDescent="0.2">
      <c r="A14" s="10">
        <v>13</v>
      </c>
      <c r="B14" s="2" t="s">
        <v>38</v>
      </c>
      <c r="C14" s="112">
        <v>100000</v>
      </c>
    </row>
    <row r="15" spans="1:10" x14ac:dyDescent="0.2">
      <c r="A15" s="10"/>
    </row>
    <row r="16" spans="1:10" x14ac:dyDescent="0.2">
      <c r="A16" s="10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  <row r="39" spans="4:4" x14ac:dyDescent="0.2">
      <c r="D39" s="2"/>
    </row>
    <row r="40" spans="4:4" x14ac:dyDescent="0.2">
      <c r="D40" s="2"/>
    </row>
    <row r="41" spans="4:4" x14ac:dyDescent="0.2">
      <c r="D41" s="2"/>
    </row>
    <row r="42" spans="4:4" x14ac:dyDescent="0.2">
      <c r="D42" s="2"/>
    </row>
    <row r="43" spans="4:4" x14ac:dyDescent="0.2">
      <c r="D43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7"/>
  <sheetViews>
    <sheetView zoomScale="125" zoomScaleNormal="125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51" sqref="B51:M51"/>
    </sheetView>
  </sheetViews>
  <sheetFormatPr defaultColWidth="9.42578125" defaultRowHeight="11.25" x14ac:dyDescent="0.2"/>
  <cols>
    <col min="1" max="1" width="2.7109375" style="2" bestFit="1" customWidth="1"/>
    <col min="2" max="2" width="9" style="2" customWidth="1"/>
    <col min="3" max="3" width="8.7109375" style="2" bestFit="1" customWidth="1"/>
    <col min="4" max="4" width="5" style="23" bestFit="1" customWidth="1"/>
    <col min="5" max="5" width="14.42578125" style="23" bestFit="1" customWidth="1"/>
    <col min="6" max="6" width="3.28515625" style="2" bestFit="1" customWidth="1"/>
    <col min="7" max="7" width="1.7109375" style="2" bestFit="1" customWidth="1"/>
    <col min="8" max="8" width="1.85546875" style="2" bestFit="1" customWidth="1"/>
    <col min="9" max="9" width="3" style="2" bestFit="1" customWidth="1"/>
    <col min="10" max="10" width="5.28515625" style="2" bestFit="1" customWidth="1"/>
    <col min="11" max="11" width="24.85546875" style="2" bestFit="1" customWidth="1"/>
    <col min="12" max="12" width="52.28515625" style="2" bestFit="1" customWidth="1"/>
    <col min="13" max="13" width="17.42578125" style="2" bestFit="1" customWidth="1"/>
    <col min="14" max="19" width="2.7109375" style="2" customWidth="1"/>
    <col min="20" max="16384" width="9.42578125" style="2"/>
  </cols>
  <sheetData>
    <row r="1" spans="1:19" s="24" customFormat="1" x14ac:dyDescent="0.2">
      <c r="A1" s="18"/>
      <c r="B1" s="19" t="s">
        <v>250</v>
      </c>
      <c r="C1" s="19" t="s">
        <v>265</v>
      </c>
      <c r="D1" s="19" t="s">
        <v>257</v>
      </c>
      <c r="E1" s="18" t="s">
        <v>258</v>
      </c>
      <c r="F1" s="19" t="s">
        <v>259</v>
      </c>
      <c r="G1" s="19" t="s">
        <v>260</v>
      </c>
      <c r="H1" s="19" t="s">
        <v>261</v>
      </c>
      <c r="I1" s="19" t="s">
        <v>262</v>
      </c>
      <c r="J1" s="20" t="s">
        <v>263</v>
      </c>
      <c r="K1" s="19" t="s">
        <v>264</v>
      </c>
      <c r="L1" s="21" t="s">
        <v>289</v>
      </c>
      <c r="M1" s="21" t="s">
        <v>366</v>
      </c>
      <c r="N1" s="20" t="s">
        <v>356</v>
      </c>
      <c r="O1" s="20" t="s">
        <v>281</v>
      </c>
      <c r="P1" s="20" t="s">
        <v>254</v>
      </c>
      <c r="Q1" s="20" t="s">
        <v>268</v>
      </c>
      <c r="R1" s="20" t="s">
        <v>260</v>
      </c>
      <c r="S1" s="20" t="s">
        <v>261</v>
      </c>
    </row>
    <row r="2" spans="1:19" x14ac:dyDescent="0.2">
      <c r="A2" s="10">
        <v>1</v>
      </c>
      <c r="B2" s="114">
        <v>33579</v>
      </c>
      <c r="C2" s="115" t="s">
        <v>251</v>
      </c>
      <c r="D2" s="30" t="s">
        <v>252</v>
      </c>
      <c r="E2" s="29" t="s">
        <v>253</v>
      </c>
      <c r="F2" s="30" t="s">
        <v>254</v>
      </c>
      <c r="G2" s="30">
        <v>1</v>
      </c>
      <c r="H2" s="30">
        <v>1</v>
      </c>
      <c r="I2" s="30" t="s">
        <v>255</v>
      </c>
      <c r="J2" s="116">
        <v>4646</v>
      </c>
      <c r="K2" s="29" t="s">
        <v>256</v>
      </c>
      <c r="L2" s="2" t="s">
        <v>1229</v>
      </c>
      <c r="M2" s="2" t="s">
        <v>367</v>
      </c>
      <c r="N2" s="77">
        <f>SUM(O2:Q2)</f>
        <v>1</v>
      </c>
      <c r="O2" s="77">
        <f>COUNTIF($F$2:F2,"=W")</f>
        <v>0</v>
      </c>
      <c r="P2" s="77">
        <f>COUNTIF($F$2:F2,"=D")</f>
        <v>1</v>
      </c>
      <c r="Q2" s="77">
        <f>COUNTIF($F$2:F2,"=L")</f>
        <v>0</v>
      </c>
      <c r="R2" s="77">
        <f>G2</f>
        <v>1</v>
      </c>
      <c r="S2" s="77">
        <f>H2</f>
        <v>1</v>
      </c>
    </row>
    <row r="3" spans="1:19" x14ac:dyDescent="0.2">
      <c r="A3" s="10">
        <v>2</v>
      </c>
      <c r="B3" s="114">
        <v>35015</v>
      </c>
      <c r="C3" s="115" t="s">
        <v>266</v>
      </c>
      <c r="D3" s="30" t="s">
        <v>252</v>
      </c>
      <c r="E3" s="29" t="s">
        <v>267</v>
      </c>
      <c r="F3" s="30" t="s">
        <v>268</v>
      </c>
      <c r="G3" s="30">
        <v>0</v>
      </c>
      <c r="H3" s="30">
        <v>1</v>
      </c>
      <c r="I3" s="30" t="s">
        <v>255</v>
      </c>
      <c r="J3" s="116">
        <v>4228</v>
      </c>
      <c r="K3" s="29"/>
      <c r="L3" s="2" t="s">
        <v>1229</v>
      </c>
      <c r="M3" s="2" t="s">
        <v>367</v>
      </c>
      <c r="N3" s="77">
        <f>SUM(O3:Q3)</f>
        <v>2</v>
      </c>
      <c r="O3" s="77">
        <f>COUNTIF($F$2:F3,"=W")</f>
        <v>0</v>
      </c>
      <c r="P3" s="77">
        <f>COUNTIF($F$2:F3,"=D")</f>
        <v>1</v>
      </c>
      <c r="Q3" s="77">
        <f>COUNTIF($F$2:F3,"=L")</f>
        <v>1</v>
      </c>
      <c r="R3" s="77">
        <f t="shared" ref="R3:R42" si="0">R2+G3</f>
        <v>1</v>
      </c>
      <c r="S3" s="77">
        <f t="shared" ref="S3:S42" si="1">S2+H3</f>
        <v>2</v>
      </c>
    </row>
    <row r="4" spans="1:19" x14ac:dyDescent="0.2">
      <c r="A4" s="10">
        <v>3</v>
      </c>
      <c r="B4" s="117">
        <v>37667</v>
      </c>
      <c r="C4" s="22" t="s">
        <v>271</v>
      </c>
      <c r="D4" s="118" t="s">
        <v>252</v>
      </c>
      <c r="E4" s="22" t="s">
        <v>269</v>
      </c>
      <c r="F4" s="118" t="s">
        <v>254</v>
      </c>
      <c r="G4" s="118">
        <v>0</v>
      </c>
      <c r="H4" s="118">
        <v>0</v>
      </c>
      <c r="I4" s="118" t="s">
        <v>270</v>
      </c>
      <c r="J4" s="119">
        <v>5953</v>
      </c>
      <c r="K4" s="22"/>
      <c r="L4" s="2" t="s">
        <v>1229</v>
      </c>
      <c r="M4" s="2" t="s">
        <v>367</v>
      </c>
      <c r="N4" s="77">
        <f t="shared" ref="N4:N27" si="2">SUM(O4:Q4)</f>
        <v>3</v>
      </c>
      <c r="O4" s="77">
        <f>COUNTIF($F$2:F4,"=W")</f>
        <v>0</v>
      </c>
      <c r="P4" s="77">
        <f>COUNTIF($F$2:F4,"=D")</f>
        <v>2</v>
      </c>
      <c r="Q4" s="77">
        <f>COUNTIF($F$2:F4,"=L")</f>
        <v>1</v>
      </c>
      <c r="R4" s="77">
        <f t="shared" si="0"/>
        <v>1</v>
      </c>
      <c r="S4" s="77">
        <f t="shared" si="1"/>
        <v>2</v>
      </c>
    </row>
    <row r="5" spans="1:19" x14ac:dyDescent="0.2">
      <c r="A5" s="10">
        <v>4</v>
      </c>
      <c r="B5" s="120">
        <v>38265</v>
      </c>
      <c r="C5" s="77" t="s">
        <v>273</v>
      </c>
      <c r="D5" s="110" t="s">
        <v>261</v>
      </c>
      <c r="E5" s="77" t="s">
        <v>272</v>
      </c>
      <c r="F5" s="110" t="s">
        <v>268</v>
      </c>
      <c r="G5" s="110">
        <v>1</v>
      </c>
      <c r="H5" s="110">
        <v>2</v>
      </c>
      <c r="I5" s="121" t="s">
        <v>255</v>
      </c>
      <c r="J5" s="122">
        <v>1708</v>
      </c>
      <c r="K5" s="6" t="s">
        <v>1230</v>
      </c>
      <c r="L5" s="2" t="s">
        <v>1229</v>
      </c>
      <c r="M5" s="2" t="s">
        <v>367</v>
      </c>
      <c r="N5" s="77">
        <f t="shared" si="2"/>
        <v>4</v>
      </c>
      <c r="O5" s="77">
        <f>COUNTIF($F$2:F5,"=W")</f>
        <v>0</v>
      </c>
      <c r="P5" s="77">
        <f>COUNTIF($F$2:F5,"=D")</f>
        <v>2</v>
      </c>
      <c r="Q5" s="77">
        <f>COUNTIF($F$2:F5,"=L")</f>
        <v>2</v>
      </c>
      <c r="R5" s="77">
        <f t="shared" si="0"/>
        <v>2</v>
      </c>
      <c r="S5" s="77">
        <f t="shared" si="1"/>
        <v>4</v>
      </c>
    </row>
    <row r="6" spans="1:19" x14ac:dyDescent="0.2">
      <c r="A6" s="10">
        <v>5</v>
      </c>
      <c r="B6" s="120">
        <v>38425</v>
      </c>
      <c r="C6" s="77" t="s">
        <v>273</v>
      </c>
      <c r="D6" s="110" t="s">
        <v>261</v>
      </c>
      <c r="E6" s="77" t="s">
        <v>274</v>
      </c>
      <c r="F6" s="110" t="s">
        <v>268</v>
      </c>
      <c r="G6" s="110">
        <v>0</v>
      </c>
      <c r="H6" s="110">
        <v>2</v>
      </c>
      <c r="I6" s="110" t="s">
        <v>270</v>
      </c>
      <c r="J6" s="122">
        <v>2165</v>
      </c>
      <c r="K6" s="6" t="s">
        <v>275</v>
      </c>
      <c r="L6" s="2" t="s">
        <v>1229</v>
      </c>
      <c r="M6" s="2" t="s">
        <v>367</v>
      </c>
      <c r="N6" s="77">
        <f t="shared" si="2"/>
        <v>5</v>
      </c>
      <c r="O6" s="77">
        <f>COUNTIF($F$2:F6,"=W")</f>
        <v>0</v>
      </c>
      <c r="P6" s="77">
        <f>COUNTIF($F$2:F6,"=D")</f>
        <v>2</v>
      </c>
      <c r="Q6" s="77">
        <f>COUNTIF($F$2:F6,"=L")</f>
        <v>3</v>
      </c>
      <c r="R6" s="77">
        <f t="shared" si="0"/>
        <v>2</v>
      </c>
      <c r="S6" s="77">
        <f t="shared" si="1"/>
        <v>6</v>
      </c>
    </row>
    <row r="7" spans="1:19" x14ac:dyDescent="0.2">
      <c r="A7" s="10">
        <v>6</v>
      </c>
      <c r="B7" s="120">
        <v>38593</v>
      </c>
      <c r="C7" s="77" t="s">
        <v>273</v>
      </c>
      <c r="D7" s="110" t="s">
        <v>261</v>
      </c>
      <c r="E7" s="77" t="s">
        <v>274</v>
      </c>
      <c r="F7" s="110" t="s">
        <v>268</v>
      </c>
      <c r="G7" s="110">
        <v>0</v>
      </c>
      <c r="H7" s="110">
        <v>1</v>
      </c>
      <c r="I7" s="110" t="s">
        <v>270</v>
      </c>
      <c r="J7" s="122">
        <v>2078</v>
      </c>
      <c r="K7" s="6">
        <v>62</v>
      </c>
      <c r="L7" s="2" t="s">
        <v>1229</v>
      </c>
      <c r="M7" s="2" t="s">
        <v>367</v>
      </c>
      <c r="N7" s="77">
        <f t="shared" si="2"/>
        <v>6</v>
      </c>
      <c r="O7" s="77">
        <f>COUNTIF($F$2:F7,"=W")</f>
        <v>0</v>
      </c>
      <c r="P7" s="77">
        <f>COUNTIF($F$2:F7,"=D")</f>
        <v>2</v>
      </c>
      <c r="Q7" s="77">
        <f>COUNTIF($F$2:F7,"=L")</f>
        <v>4</v>
      </c>
      <c r="R7" s="77">
        <f t="shared" si="0"/>
        <v>2</v>
      </c>
      <c r="S7" s="77">
        <f t="shared" si="1"/>
        <v>7</v>
      </c>
    </row>
    <row r="8" spans="1:19" x14ac:dyDescent="0.2">
      <c r="A8" s="10"/>
      <c r="B8" s="120">
        <v>38664</v>
      </c>
      <c r="C8" s="77" t="s">
        <v>273</v>
      </c>
      <c r="D8" s="110" t="s">
        <v>252</v>
      </c>
      <c r="E8" s="77" t="s">
        <v>276</v>
      </c>
      <c r="F8" s="110"/>
      <c r="G8" s="110"/>
      <c r="H8" s="110"/>
      <c r="I8" s="110"/>
      <c r="J8" s="122"/>
      <c r="L8" s="2" t="s">
        <v>1231</v>
      </c>
      <c r="N8" s="77">
        <f t="shared" si="2"/>
        <v>6</v>
      </c>
      <c r="O8" s="77">
        <f>COUNTIF($F$2:F8,"=W")</f>
        <v>0</v>
      </c>
      <c r="P8" s="77">
        <f>COUNTIF($F$2:F8,"=D")</f>
        <v>2</v>
      </c>
      <c r="Q8" s="77">
        <f>COUNTIF($F$2:F8,"=L")</f>
        <v>4</v>
      </c>
      <c r="R8" s="77">
        <f t="shared" si="0"/>
        <v>2</v>
      </c>
      <c r="S8" s="77">
        <f t="shared" si="1"/>
        <v>7</v>
      </c>
    </row>
    <row r="9" spans="1:19" x14ac:dyDescent="0.2">
      <c r="A9" s="10">
        <v>7</v>
      </c>
      <c r="B9" s="120">
        <v>39209</v>
      </c>
      <c r="C9" s="77" t="s">
        <v>326</v>
      </c>
      <c r="D9" s="110" t="s">
        <v>261</v>
      </c>
      <c r="E9" s="77" t="s">
        <v>272</v>
      </c>
      <c r="F9" s="110" t="s">
        <v>268</v>
      </c>
      <c r="G9" s="110">
        <v>1</v>
      </c>
      <c r="H9" s="110">
        <v>2</v>
      </c>
      <c r="I9" s="121" t="s">
        <v>327</v>
      </c>
      <c r="J9" s="122">
        <v>5567</v>
      </c>
      <c r="K9" s="77" t="s">
        <v>1232</v>
      </c>
      <c r="L9" s="2" t="s">
        <v>1229</v>
      </c>
      <c r="M9" s="2" t="s">
        <v>368</v>
      </c>
      <c r="N9" s="77">
        <f t="shared" si="2"/>
        <v>7</v>
      </c>
      <c r="O9" s="77">
        <f>COUNTIF($F$2:F9,"=W")</f>
        <v>0</v>
      </c>
      <c r="P9" s="77">
        <f>COUNTIF($F$2:F9,"=D")</f>
        <v>2</v>
      </c>
      <c r="Q9" s="77">
        <f>COUNTIF($F$2:F9,"=L")</f>
        <v>5</v>
      </c>
      <c r="R9" s="77">
        <f t="shared" si="0"/>
        <v>3</v>
      </c>
      <c r="S9" s="77">
        <f t="shared" si="1"/>
        <v>9</v>
      </c>
    </row>
    <row r="10" spans="1:19" x14ac:dyDescent="0.2">
      <c r="A10" s="10">
        <f t="shared" ref="A10:A16" si="3">A9+1</f>
        <v>8</v>
      </c>
      <c r="B10" s="120">
        <v>39314</v>
      </c>
      <c r="C10" s="77" t="s">
        <v>273</v>
      </c>
      <c r="D10" s="110" t="s">
        <v>261</v>
      </c>
      <c r="E10" s="77" t="s">
        <v>328</v>
      </c>
      <c r="F10" s="110" t="s">
        <v>254</v>
      </c>
      <c r="G10" s="110">
        <v>1</v>
      </c>
      <c r="H10" s="110">
        <v>1</v>
      </c>
      <c r="I10" s="121" t="s">
        <v>255</v>
      </c>
      <c r="J10" s="122">
        <v>4242</v>
      </c>
      <c r="K10" s="10" t="s">
        <v>1233</v>
      </c>
      <c r="L10" s="2" t="s">
        <v>1234</v>
      </c>
      <c r="M10" s="2" t="s">
        <v>368</v>
      </c>
      <c r="N10" s="77">
        <f t="shared" si="2"/>
        <v>8</v>
      </c>
      <c r="O10" s="77">
        <f>COUNTIF($F$2:F10,"=W")</f>
        <v>0</v>
      </c>
      <c r="P10" s="77">
        <f>COUNTIF($F$2:F10,"=D")</f>
        <v>3</v>
      </c>
      <c r="Q10" s="77">
        <f>COUNTIF($F$2:F10,"=L")</f>
        <v>5</v>
      </c>
      <c r="R10" s="77">
        <f t="shared" si="0"/>
        <v>4</v>
      </c>
      <c r="S10" s="77">
        <f t="shared" si="1"/>
        <v>10</v>
      </c>
    </row>
    <row r="11" spans="1:19" x14ac:dyDescent="0.2">
      <c r="A11" s="10">
        <f t="shared" si="3"/>
        <v>9</v>
      </c>
      <c r="B11" s="120">
        <v>39324</v>
      </c>
      <c r="C11" s="77" t="s">
        <v>273</v>
      </c>
      <c r="D11" s="110" t="s">
        <v>252</v>
      </c>
      <c r="E11" s="77" t="s">
        <v>347</v>
      </c>
      <c r="F11" s="110" t="s">
        <v>268</v>
      </c>
      <c r="G11" s="110">
        <v>2</v>
      </c>
      <c r="H11" s="110">
        <v>3</v>
      </c>
      <c r="I11" s="121" t="s">
        <v>348</v>
      </c>
      <c r="J11" s="122">
        <v>2044</v>
      </c>
      <c r="K11" s="123" t="s">
        <v>1235</v>
      </c>
      <c r="L11" s="2" t="s">
        <v>1234</v>
      </c>
      <c r="M11" s="2" t="s">
        <v>367</v>
      </c>
      <c r="N11" s="77">
        <f t="shared" si="2"/>
        <v>9</v>
      </c>
      <c r="O11" s="77">
        <f>COUNTIF($F$2:F11,"=W")</f>
        <v>0</v>
      </c>
      <c r="P11" s="77">
        <f>COUNTIF($F$2:F11,"=D")</f>
        <v>3</v>
      </c>
      <c r="Q11" s="77">
        <f>COUNTIF($F$2:F11,"=L")</f>
        <v>6</v>
      </c>
      <c r="R11" s="77">
        <f t="shared" si="0"/>
        <v>6</v>
      </c>
      <c r="S11" s="77">
        <f t="shared" si="1"/>
        <v>13</v>
      </c>
    </row>
    <row r="12" spans="1:19" x14ac:dyDescent="0.2">
      <c r="A12" s="10">
        <f t="shared" si="3"/>
        <v>10</v>
      </c>
      <c r="B12" s="120">
        <v>39352</v>
      </c>
      <c r="C12" s="77" t="s">
        <v>273</v>
      </c>
      <c r="D12" s="110" t="s">
        <v>252</v>
      </c>
      <c r="E12" s="77" t="s">
        <v>349</v>
      </c>
      <c r="F12" s="110" t="s">
        <v>281</v>
      </c>
      <c r="G12" s="110">
        <v>3</v>
      </c>
      <c r="H12" s="110">
        <v>2</v>
      </c>
      <c r="I12" s="121" t="s">
        <v>255</v>
      </c>
      <c r="J12" s="122">
        <v>2134</v>
      </c>
      <c r="K12" s="6" t="s">
        <v>1236</v>
      </c>
      <c r="L12" s="2" t="s">
        <v>1237</v>
      </c>
      <c r="M12" s="2" t="s">
        <v>367</v>
      </c>
      <c r="N12" s="77">
        <f t="shared" si="2"/>
        <v>10</v>
      </c>
      <c r="O12" s="77">
        <f>COUNTIF($F$2:F12,"=W")</f>
        <v>1</v>
      </c>
      <c r="P12" s="77">
        <f>COUNTIF($F$2:F12,"=D")</f>
        <v>3</v>
      </c>
      <c r="Q12" s="77">
        <f>COUNTIF($F$2:F12,"=L")</f>
        <v>6</v>
      </c>
      <c r="R12" s="77">
        <f t="shared" si="0"/>
        <v>9</v>
      </c>
      <c r="S12" s="77">
        <f t="shared" si="1"/>
        <v>15</v>
      </c>
    </row>
    <row r="13" spans="1:19" x14ac:dyDescent="0.2">
      <c r="A13" s="10">
        <f t="shared" si="3"/>
        <v>11</v>
      </c>
      <c r="B13" s="120">
        <v>39376</v>
      </c>
      <c r="C13" s="77" t="s">
        <v>273</v>
      </c>
      <c r="D13" s="110" t="s">
        <v>252</v>
      </c>
      <c r="E13" s="77" t="s">
        <v>350</v>
      </c>
      <c r="F13" s="110" t="s">
        <v>268</v>
      </c>
      <c r="G13" s="110">
        <v>0</v>
      </c>
      <c r="H13" s="110">
        <v>1</v>
      </c>
      <c r="I13" s="110" t="s">
        <v>270</v>
      </c>
      <c r="J13" s="122">
        <v>2483</v>
      </c>
      <c r="K13" s="6">
        <v>50</v>
      </c>
      <c r="L13" s="2" t="s">
        <v>1234</v>
      </c>
      <c r="M13" s="2" t="s">
        <v>367</v>
      </c>
      <c r="N13" s="77">
        <f t="shared" si="2"/>
        <v>11</v>
      </c>
      <c r="O13" s="77">
        <f>COUNTIF($F$2:F13,"=W")</f>
        <v>1</v>
      </c>
      <c r="P13" s="77">
        <f>COUNTIF($F$2:F13,"=D")</f>
        <v>3</v>
      </c>
      <c r="Q13" s="77">
        <f>COUNTIF($F$2:F13,"=L")</f>
        <v>7</v>
      </c>
      <c r="R13" s="77">
        <f t="shared" si="0"/>
        <v>9</v>
      </c>
      <c r="S13" s="77">
        <f t="shared" si="1"/>
        <v>16</v>
      </c>
    </row>
    <row r="14" spans="1:19" x14ac:dyDescent="0.2">
      <c r="A14" s="10">
        <f t="shared" si="3"/>
        <v>12</v>
      </c>
      <c r="B14" s="120">
        <v>39390</v>
      </c>
      <c r="C14" s="77" t="s">
        <v>273</v>
      </c>
      <c r="D14" s="110" t="s">
        <v>261</v>
      </c>
      <c r="E14" s="77" t="s">
        <v>351</v>
      </c>
      <c r="F14" s="110" t="s">
        <v>281</v>
      </c>
      <c r="G14" s="110">
        <v>4</v>
      </c>
      <c r="H14" s="110">
        <v>1</v>
      </c>
      <c r="I14" s="121" t="s">
        <v>352</v>
      </c>
      <c r="J14" s="122">
        <v>1603</v>
      </c>
      <c r="K14" s="123" t="s">
        <v>1238</v>
      </c>
      <c r="L14" s="2" t="s">
        <v>1234</v>
      </c>
      <c r="M14" s="10" t="s">
        <v>369</v>
      </c>
      <c r="N14" s="77">
        <f t="shared" si="2"/>
        <v>12</v>
      </c>
      <c r="O14" s="77">
        <f>COUNTIF($F$2:F14,"=W")</f>
        <v>2</v>
      </c>
      <c r="P14" s="77">
        <f>COUNTIF($F$2:F14,"=D")</f>
        <v>3</v>
      </c>
      <c r="Q14" s="77">
        <f>COUNTIF($F$2:F14,"=L")</f>
        <v>7</v>
      </c>
      <c r="R14" s="77">
        <f t="shared" si="0"/>
        <v>13</v>
      </c>
      <c r="S14" s="77">
        <f t="shared" si="1"/>
        <v>17</v>
      </c>
    </row>
    <row r="15" spans="1:19" x14ac:dyDescent="0.2">
      <c r="A15" s="10">
        <f t="shared" si="3"/>
        <v>13</v>
      </c>
      <c r="B15" s="120">
        <v>39517</v>
      </c>
      <c r="C15" s="77" t="s">
        <v>273</v>
      </c>
      <c r="D15" s="110" t="s">
        <v>252</v>
      </c>
      <c r="E15" s="77" t="s">
        <v>354</v>
      </c>
      <c r="F15" s="110" t="s">
        <v>281</v>
      </c>
      <c r="G15" s="110">
        <v>3</v>
      </c>
      <c r="H15" s="110">
        <v>2</v>
      </c>
      <c r="I15" s="121" t="s">
        <v>352</v>
      </c>
      <c r="J15" s="122">
        <v>1567</v>
      </c>
      <c r="K15" s="123" t="s">
        <v>1239</v>
      </c>
      <c r="L15" s="2" t="s">
        <v>1234</v>
      </c>
      <c r="M15" s="2" t="s">
        <v>367</v>
      </c>
      <c r="N15" s="77">
        <f t="shared" si="2"/>
        <v>13</v>
      </c>
      <c r="O15" s="77">
        <f>COUNTIF($F$2:F15,"=W")</f>
        <v>3</v>
      </c>
      <c r="P15" s="77">
        <f>COUNTIF($F$2:F15,"=D")</f>
        <v>3</v>
      </c>
      <c r="Q15" s="77">
        <f>COUNTIF($F$2:F15,"=L")</f>
        <v>7</v>
      </c>
      <c r="R15" s="77">
        <f t="shared" si="0"/>
        <v>16</v>
      </c>
      <c r="S15" s="77">
        <f t="shared" si="1"/>
        <v>19</v>
      </c>
    </row>
    <row r="16" spans="1:19" x14ac:dyDescent="0.2">
      <c r="A16" s="10">
        <f t="shared" si="3"/>
        <v>14</v>
      </c>
      <c r="B16" s="120">
        <v>39532</v>
      </c>
      <c r="C16" s="77" t="s">
        <v>273</v>
      </c>
      <c r="D16" s="110" t="s">
        <v>252</v>
      </c>
      <c r="E16" s="77" t="s">
        <v>355</v>
      </c>
      <c r="F16" s="110" t="s">
        <v>254</v>
      </c>
      <c r="G16" s="110">
        <v>1</v>
      </c>
      <c r="H16" s="110">
        <v>1</v>
      </c>
      <c r="I16" s="121" t="s">
        <v>359</v>
      </c>
      <c r="J16" s="122">
        <v>1941</v>
      </c>
      <c r="K16" s="123" t="s">
        <v>1240</v>
      </c>
      <c r="L16" s="2" t="s">
        <v>1234</v>
      </c>
      <c r="M16" s="2" t="s">
        <v>368</v>
      </c>
      <c r="N16" s="77">
        <f t="shared" si="2"/>
        <v>14</v>
      </c>
      <c r="O16" s="77">
        <f>COUNTIF($F$2:F16,"=W")</f>
        <v>3</v>
      </c>
      <c r="P16" s="77">
        <f>COUNTIF($F$2:F16,"=D")</f>
        <v>4</v>
      </c>
      <c r="Q16" s="77">
        <f>COUNTIF($F$2:F16,"=L")</f>
        <v>7</v>
      </c>
      <c r="R16" s="77">
        <f t="shared" si="0"/>
        <v>17</v>
      </c>
      <c r="S16" s="77">
        <f t="shared" si="1"/>
        <v>20</v>
      </c>
    </row>
    <row r="17" spans="1:19" x14ac:dyDescent="0.2">
      <c r="A17" s="10">
        <f>A16+1</f>
        <v>15</v>
      </c>
      <c r="B17" s="120">
        <v>39674</v>
      </c>
      <c r="C17" s="77" t="s">
        <v>273</v>
      </c>
      <c r="D17" s="110" t="s">
        <v>252</v>
      </c>
      <c r="E17" s="77" t="s">
        <v>364</v>
      </c>
      <c r="F17" s="110" t="s">
        <v>281</v>
      </c>
      <c r="G17" s="110">
        <v>1</v>
      </c>
      <c r="H17" s="110">
        <v>0</v>
      </c>
      <c r="I17" s="110" t="s">
        <v>270</v>
      </c>
      <c r="J17" s="122">
        <v>2603</v>
      </c>
      <c r="K17" s="123" t="s">
        <v>365</v>
      </c>
      <c r="L17" s="2" t="s">
        <v>1234</v>
      </c>
      <c r="M17" s="2" t="s">
        <v>367</v>
      </c>
      <c r="N17" s="77">
        <f t="shared" si="2"/>
        <v>15</v>
      </c>
      <c r="O17" s="77">
        <f>COUNTIF($F$2:F17,"=W")</f>
        <v>4</v>
      </c>
      <c r="P17" s="77">
        <f>COUNTIF($F$2:F17,"=D")</f>
        <v>4</v>
      </c>
      <c r="Q17" s="77">
        <f>COUNTIF($F$2:F17,"=L")</f>
        <v>7</v>
      </c>
      <c r="R17" s="77">
        <f t="shared" si="0"/>
        <v>18</v>
      </c>
      <c r="S17" s="77">
        <f t="shared" si="1"/>
        <v>20</v>
      </c>
    </row>
    <row r="18" spans="1:19" x14ac:dyDescent="0.2">
      <c r="A18" s="10">
        <f>A17+1</f>
        <v>16</v>
      </c>
      <c r="B18" s="120">
        <v>39688</v>
      </c>
      <c r="C18" s="77" t="s">
        <v>273</v>
      </c>
      <c r="D18" s="110" t="s">
        <v>261</v>
      </c>
      <c r="E18" s="77" t="s">
        <v>363</v>
      </c>
      <c r="F18" s="110" t="s">
        <v>254</v>
      </c>
      <c r="G18" s="110">
        <v>1</v>
      </c>
      <c r="H18" s="110">
        <v>1</v>
      </c>
      <c r="I18" s="110" t="s">
        <v>270</v>
      </c>
      <c r="J18" s="122">
        <v>1598</v>
      </c>
      <c r="K18" s="6" t="s">
        <v>1241</v>
      </c>
      <c r="L18" s="2" t="s">
        <v>1234</v>
      </c>
      <c r="M18" s="2" t="s">
        <v>367</v>
      </c>
      <c r="N18" s="77">
        <f t="shared" si="2"/>
        <v>16</v>
      </c>
      <c r="O18" s="77">
        <f>COUNTIF($F$2:F18,"=W")</f>
        <v>4</v>
      </c>
      <c r="P18" s="77">
        <f>COUNTIF($F$2:F18,"=D")</f>
        <v>5</v>
      </c>
      <c r="Q18" s="77">
        <f>COUNTIF($F$2:F18,"=L")</f>
        <v>7</v>
      </c>
      <c r="R18" s="77">
        <f t="shared" si="0"/>
        <v>19</v>
      </c>
      <c r="S18" s="77">
        <f t="shared" si="1"/>
        <v>21</v>
      </c>
    </row>
    <row r="19" spans="1:19" x14ac:dyDescent="0.2">
      <c r="A19" s="10">
        <f>A18+1</f>
        <v>17</v>
      </c>
      <c r="B19" s="120">
        <v>39693</v>
      </c>
      <c r="C19" s="77" t="s">
        <v>273</v>
      </c>
      <c r="D19" s="110" t="s">
        <v>252</v>
      </c>
      <c r="E19" s="77" t="s">
        <v>362</v>
      </c>
      <c r="F19" s="110" t="s">
        <v>254</v>
      </c>
      <c r="G19" s="110">
        <v>1</v>
      </c>
      <c r="H19" s="110">
        <v>1</v>
      </c>
      <c r="I19" s="121" t="s">
        <v>359</v>
      </c>
      <c r="J19" s="122">
        <v>2520</v>
      </c>
      <c r="K19" s="123" t="s">
        <v>1242</v>
      </c>
      <c r="L19" s="2" t="s">
        <v>1234</v>
      </c>
      <c r="M19" s="2" t="s">
        <v>368</v>
      </c>
      <c r="N19" s="77">
        <f t="shared" si="2"/>
        <v>17</v>
      </c>
      <c r="O19" s="77">
        <f>COUNTIF($F$2:F19,"=W")</f>
        <v>4</v>
      </c>
      <c r="P19" s="77">
        <f>COUNTIF($F$2:F19,"=D")</f>
        <v>6</v>
      </c>
      <c r="Q19" s="77">
        <f>COUNTIF($F$2:F19,"=L")</f>
        <v>7</v>
      </c>
      <c r="R19" s="77">
        <f t="shared" si="0"/>
        <v>20</v>
      </c>
      <c r="S19" s="77">
        <f t="shared" si="1"/>
        <v>22</v>
      </c>
    </row>
    <row r="20" spans="1:19" x14ac:dyDescent="0.2">
      <c r="A20" s="10">
        <f>A19+1</f>
        <v>18</v>
      </c>
      <c r="B20" s="120">
        <v>39808</v>
      </c>
      <c r="C20" s="77" t="s">
        <v>273</v>
      </c>
      <c r="D20" s="110" t="s">
        <v>261</v>
      </c>
      <c r="E20" s="77" t="s">
        <v>371</v>
      </c>
      <c r="F20" s="110" t="s">
        <v>268</v>
      </c>
      <c r="G20" s="110">
        <v>1</v>
      </c>
      <c r="H20" s="110">
        <v>2</v>
      </c>
      <c r="I20" s="110" t="s">
        <v>270</v>
      </c>
      <c r="J20" s="122">
        <v>3578</v>
      </c>
      <c r="K20" s="123" t="s">
        <v>1243</v>
      </c>
      <c r="L20" s="2" t="s">
        <v>1234</v>
      </c>
      <c r="M20" s="2" t="s">
        <v>368</v>
      </c>
      <c r="N20" s="77">
        <f t="shared" si="2"/>
        <v>18</v>
      </c>
      <c r="O20" s="77">
        <f>COUNTIF($F$2:F20,"=W")</f>
        <v>4</v>
      </c>
      <c r="P20" s="77">
        <f>COUNTIF($F$2:F20,"=D")</f>
        <v>6</v>
      </c>
      <c r="Q20" s="77">
        <f>COUNTIF($F$2:F20,"=L")</f>
        <v>8</v>
      </c>
      <c r="R20" s="77">
        <f t="shared" si="0"/>
        <v>21</v>
      </c>
      <c r="S20" s="77">
        <f t="shared" si="1"/>
        <v>24</v>
      </c>
    </row>
    <row r="21" spans="1:19" x14ac:dyDescent="0.2">
      <c r="A21" s="10"/>
      <c r="B21" s="120">
        <v>39819</v>
      </c>
      <c r="C21" s="77" t="s">
        <v>273</v>
      </c>
      <c r="D21" s="110" t="s">
        <v>261</v>
      </c>
      <c r="E21" s="77" t="s">
        <v>372</v>
      </c>
      <c r="F21" s="110"/>
      <c r="G21" s="110"/>
      <c r="H21" s="110"/>
      <c r="I21" s="110"/>
      <c r="J21" s="122"/>
      <c r="L21" s="2" t="s">
        <v>1244</v>
      </c>
      <c r="N21" s="77">
        <f t="shared" si="2"/>
        <v>18</v>
      </c>
      <c r="O21" s="77">
        <f>COUNTIF($F$2:F21,"=W")</f>
        <v>4</v>
      </c>
      <c r="P21" s="77">
        <f>COUNTIF($F$2:F21,"=D")</f>
        <v>6</v>
      </c>
      <c r="Q21" s="77">
        <f>COUNTIF($F$2:F21,"=L")</f>
        <v>8</v>
      </c>
      <c r="R21" s="77">
        <f t="shared" si="0"/>
        <v>21</v>
      </c>
      <c r="S21" s="77">
        <f t="shared" si="1"/>
        <v>24</v>
      </c>
    </row>
    <row r="22" spans="1:19" x14ac:dyDescent="0.2">
      <c r="A22" s="10"/>
      <c r="B22" s="120">
        <v>39916</v>
      </c>
      <c r="C22" s="77" t="s">
        <v>273</v>
      </c>
      <c r="D22" s="110" t="s">
        <v>261</v>
      </c>
      <c r="E22" s="77" t="s">
        <v>402</v>
      </c>
      <c r="F22" s="110"/>
      <c r="G22" s="110"/>
      <c r="H22" s="110"/>
      <c r="I22" s="110"/>
      <c r="J22" s="122"/>
      <c r="L22" s="2" t="s">
        <v>1245</v>
      </c>
      <c r="M22" s="2" t="s">
        <v>368</v>
      </c>
      <c r="N22" s="77">
        <f t="shared" si="2"/>
        <v>18</v>
      </c>
      <c r="O22" s="77">
        <f>COUNTIF($F$2:F22,"=W")</f>
        <v>4</v>
      </c>
      <c r="P22" s="77">
        <f>COUNTIF($F$2:F22,"=D")</f>
        <v>6</v>
      </c>
      <c r="Q22" s="77">
        <f>COUNTIF($F$2:F22,"=L")</f>
        <v>8</v>
      </c>
      <c r="R22" s="77">
        <f t="shared" si="0"/>
        <v>21</v>
      </c>
      <c r="S22" s="77">
        <f t="shared" si="1"/>
        <v>24</v>
      </c>
    </row>
    <row r="23" spans="1:19" x14ac:dyDescent="0.2">
      <c r="A23" s="10">
        <v>19</v>
      </c>
      <c r="B23" s="120">
        <v>39942</v>
      </c>
      <c r="C23" s="77" t="s">
        <v>746</v>
      </c>
      <c r="D23" s="110" t="s">
        <v>747</v>
      </c>
      <c r="E23" s="77" t="s">
        <v>748</v>
      </c>
      <c r="F23" s="110" t="s">
        <v>268</v>
      </c>
      <c r="G23" s="110">
        <v>0</v>
      </c>
      <c r="H23" s="110">
        <v>2</v>
      </c>
      <c r="I23" s="110" t="s">
        <v>270</v>
      </c>
      <c r="J23" s="122">
        <v>27102</v>
      </c>
      <c r="K23" s="6" t="s">
        <v>749</v>
      </c>
      <c r="L23" s="2" t="s">
        <v>1234</v>
      </c>
      <c r="M23" s="2" t="s">
        <v>368</v>
      </c>
      <c r="N23" s="77">
        <f t="shared" si="2"/>
        <v>19</v>
      </c>
      <c r="O23" s="77">
        <f>COUNTIF($F$2:F23,"=W")</f>
        <v>4</v>
      </c>
      <c r="P23" s="77">
        <f>COUNTIF($F$2:F23,"=D")</f>
        <v>6</v>
      </c>
      <c r="Q23" s="77">
        <f>COUNTIF($F$2:F23,"=L")</f>
        <v>9</v>
      </c>
      <c r="R23" s="77">
        <f t="shared" si="0"/>
        <v>21</v>
      </c>
      <c r="S23" s="77">
        <f t="shared" si="1"/>
        <v>26</v>
      </c>
    </row>
    <row r="24" spans="1:19" x14ac:dyDescent="0.2">
      <c r="A24" s="10">
        <v>20</v>
      </c>
      <c r="B24" s="120">
        <v>40314</v>
      </c>
      <c r="C24" s="77" t="s">
        <v>326</v>
      </c>
      <c r="D24" s="110" t="s">
        <v>747</v>
      </c>
      <c r="E24" s="77" t="s">
        <v>493</v>
      </c>
      <c r="F24" s="110" t="s">
        <v>268</v>
      </c>
      <c r="G24" s="110">
        <v>1</v>
      </c>
      <c r="H24" s="110">
        <v>3</v>
      </c>
      <c r="I24" s="121" t="s">
        <v>975</v>
      </c>
      <c r="J24" s="122">
        <v>42669</v>
      </c>
      <c r="K24" s="10" t="s">
        <v>1246</v>
      </c>
      <c r="L24" s="2" t="s">
        <v>1229</v>
      </c>
      <c r="M24" s="2" t="s">
        <v>368</v>
      </c>
      <c r="N24" s="77">
        <f t="shared" si="2"/>
        <v>20</v>
      </c>
      <c r="O24" s="77">
        <f>COUNTIF($F$2:F24,"=W")</f>
        <v>4</v>
      </c>
      <c r="P24" s="77">
        <f>COUNTIF($F$2:F24,"=D")</f>
        <v>6</v>
      </c>
      <c r="Q24" s="77">
        <f>COUNTIF($F$2:F24,"=L")</f>
        <v>10</v>
      </c>
      <c r="R24" s="77">
        <f t="shared" si="0"/>
        <v>22</v>
      </c>
      <c r="S24" s="77">
        <f t="shared" si="1"/>
        <v>29</v>
      </c>
    </row>
    <row r="25" spans="1:19" x14ac:dyDescent="0.2">
      <c r="A25" s="10">
        <f t="shared" ref="A25:A31" si="4">A24+1</f>
        <v>21</v>
      </c>
      <c r="B25" s="120">
        <v>40448</v>
      </c>
      <c r="C25" s="77" t="s">
        <v>273</v>
      </c>
      <c r="D25" s="110" t="s">
        <v>252</v>
      </c>
      <c r="E25" s="77" t="s">
        <v>981</v>
      </c>
      <c r="F25" s="110" t="s">
        <v>254</v>
      </c>
      <c r="G25" s="110">
        <v>0</v>
      </c>
      <c r="H25" s="110">
        <v>0</v>
      </c>
      <c r="I25" s="110" t="s">
        <v>270</v>
      </c>
      <c r="J25" s="122">
        <v>3176</v>
      </c>
      <c r="K25" s="123"/>
      <c r="L25" s="2" t="s">
        <v>1247</v>
      </c>
      <c r="M25" s="2" t="s">
        <v>367</v>
      </c>
      <c r="N25" s="77">
        <f t="shared" si="2"/>
        <v>21</v>
      </c>
      <c r="O25" s="77">
        <f>COUNTIF($F$2:F25,"=W")</f>
        <v>4</v>
      </c>
      <c r="P25" s="77">
        <f>COUNTIF($F$2:F25,"=D")</f>
        <v>7</v>
      </c>
      <c r="Q25" s="77">
        <f>COUNTIF($F$2:F25,"=L")</f>
        <v>10</v>
      </c>
      <c r="R25" s="77">
        <f t="shared" si="0"/>
        <v>22</v>
      </c>
      <c r="S25" s="77">
        <f t="shared" si="1"/>
        <v>29</v>
      </c>
    </row>
    <row r="26" spans="1:19" x14ac:dyDescent="0.2">
      <c r="A26" s="10">
        <f t="shared" si="4"/>
        <v>22</v>
      </c>
      <c r="B26" s="120">
        <v>40781</v>
      </c>
      <c r="C26" s="77" t="s">
        <v>273</v>
      </c>
      <c r="D26" s="110" t="s">
        <v>261</v>
      </c>
      <c r="E26" s="77" t="s">
        <v>983</v>
      </c>
      <c r="F26" s="110" t="s">
        <v>254</v>
      </c>
      <c r="G26" s="110">
        <v>0</v>
      </c>
      <c r="H26" s="110">
        <v>0</v>
      </c>
      <c r="I26" s="110" t="s">
        <v>270</v>
      </c>
      <c r="J26" s="122">
        <v>2111</v>
      </c>
      <c r="K26" s="123"/>
      <c r="L26" s="2" t="s">
        <v>1247</v>
      </c>
      <c r="M26" s="2" t="s">
        <v>367</v>
      </c>
      <c r="N26" s="77">
        <f t="shared" si="2"/>
        <v>22</v>
      </c>
      <c r="O26" s="77">
        <f>COUNTIF($F$2:F26,"=W")</f>
        <v>4</v>
      </c>
      <c r="P26" s="77">
        <f>COUNTIF($F$2:F26,"=D")</f>
        <v>8</v>
      </c>
      <c r="Q26" s="77">
        <f>COUNTIF($F$2:F26,"=L")</f>
        <v>10</v>
      </c>
      <c r="R26" s="77">
        <f t="shared" si="0"/>
        <v>22</v>
      </c>
      <c r="S26" s="77">
        <f t="shared" si="1"/>
        <v>29</v>
      </c>
    </row>
    <row r="27" spans="1:19" x14ac:dyDescent="0.2">
      <c r="A27" s="10">
        <f t="shared" si="4"/>
        <v>23</v>
      </c>
      <c r="B27" s="120">
        <v>40896</v>
      </c>
      <c r="C27" s="77" t="s">
        <v>273</v>
      </c>
      <c r="D27" s="110" t="s">
        <v>252</v>
      </c>
      <c r="E27" s="77" t="s">
        <v>993</v>
      </c>
      <c r="F27" s="110" t="s">
        <v>268</v>
      </c>
      <c r="G27" s="110">
        <v>2</v>
      </c>
      <c r="H27" s="110">
        <v>3</v>
      </c>
      <c r="I27" s="121" t="s">
        <v>994</v>
      </c>
      <c r="J27" s="122">
        <v>2830</v>
      </c>
      <c r="K27" s="6" t="s">
        <v>1248</v>
      </c>
      <c r="L27" s="2" t="s">
        <v>1247</v>
      </c>
      <c r="M27" s="2" t="s">
        <v>367</v>
      </c>
      <c r="N27" s="77">
        <f t="shared" si="2"/>
        <v>23</v>
      </c>
      <c r="O27" s="77">
        <f>COUNTIF($F$2:F27,"=W")</f>
        <v>4</v>
      </c>
      <c r="P27" s="77">
        <f>COUNTIF($F$2:F27,"=D")</f>
        <v>8</v>
      </c>
      <c r="Q27" s="77">
        <f>COUNTIF($F$2:F27,"=L")</f>
        <v>11</v>
      </c>
      <c r="R27" s="77">
        <f t="shared" si="0"/>
        <v>24</v>
      </c>
      <c r="S27" s="77">
        <f t="shared" si="1"/>
        <v>32</v>
      </c>
    </row>
    <row r="28" spans="1:19" x14ac:dyDescent="0.2">
      <c r="A28" s="10">
        <f t="shared" si="4"/>
        <v>24</v>
      </c>
      <c r="B28" s="120">
        <v>40961</v>
      </c>
      <c r="C28" s="77" t="s">
        <v>273</v>
      </c>
      <c r="D28" s="110" t="s">
        <v>252</v>
      </c>
      <c r="E28" s="77" t="s">
        <v>995</v>
      </c>
      <c r="F28" s="110" t="s">
        <v>268</v>
      </c>
      <c r="G28" s="110">
        <v>1</v>
      </c>
      <c r="H28" s="110">
        <v>2</v>
      </c>
      <c r="I28" s="121" t="s">
        <v>255</v>
      </c>
      <c r="J28" s="122">
        <v>2683</v>
      </c>
      <c r="K28" s="6" t="s">
        <v>1249</v>
      </c>
      <c r="L28" s="2" t="s">
        <v>1247</v>
      </c>
      <c r="M28" s="2" t="s">
        <v>367</v>
      </c>
      <c r="N28" s="77">
        <f t="shared" ref="N28:N33" si="5">SUM(O28:Q28)</f>
        <v>24</v>
      </c>
      <c r="O28" s="77">
        <f>COUNTIF($F$2:F28,"=W")</f>
        <v>4</v>
      </c>
      <c r="P28" s="77">
        <f>COUNTIF($F$2:F28,"=D")</f>
        <v>8</v>
      </c>
      <c r="Q28" s="77">
        <f>COUNTIF($F$2:F28,"=L")</f>
        <v>12</v>
      </c>
      <c r="R28" s="77">
        <f t="shared" si="0"/>
        <v>25</v>
      </c>
      <c r="S28" s="77">
        <f t="shared" si="1"/>
        <v>34</v>
      </c>
    </row>
    <row r="29" spans="1:19" x14ac:dyDescent="0.2">
      <c r="A29" s="10">
        <f t="shared" si="4"/>
        <v>25</v>
      </c>
      <c r="B29" s="120">
        <v>40998</v>
      </c>
      <c r="C29" s="77" t="s">
        <v>273</v>
      </c>
      <c r="D29" s="110" t="s">
        <v>261</v>
      </c>
      <c r="E29" s="77" t="s">
        <v>483</v>
      </c>
      <c r="F29" s="110" t="s">
        <v>281</v>
      </c>
      <c r="G29" s="110">
        <v>2</v>
      </c>
      <c r="H29" s="110">
        <v>1</v>
      </c>
      <c r="I29" s="121" t="s">
        <v>255</v>
      </c>
      <c r="J29" s="122">
        <v>5925</v>
      </c>
      <c r="K29" s="6" t="s">
        <v>1250</v>
      </c>
      <c r="L29" s="2" t="s">
        <v>1247</v>
      </c>
      <c r="M29" s="2" t="s">
        <v>367</v>
      </c>
      <c r="N29" s="77">
        <f t="shared" si="5"/>
        <v>25</v>
      </c>
      <c r="O29" s="77">
        <f>COUNTIF($F$2:F29,"=W")</f>
        <v>5</v>
      </c>
      <c r="P29" s="77">
        <f>COUNTIF($F$2:F29,"=D")</f>
        <v>8</v>
      </c>
      <c r="Q29" s="77">
        <f>COUNTIF($F$2:F29,"=L")</f>
        <v>12</v>
      </c>
      <c r="R29" s="77">
        <f t="shared" si="0"/>
        <v>27</v>
      </c>
      <c r="S29" s="77">
        <f t="shared" si="1"/>
        <v>35</v>
      </c>
    </row>
    <row r="30" spans="1:19" x14ac:dyDescent="0.2">
      <c r="A30" s="10">
        <f t="shared" si="4"/>
        <v>26</v>
      </c>
      <c r="B30" s="120">
        <v>41031</v>
      </c>
      <c r="C30" s="77" t="s">
        <v>326</v>
      </c>
      <c r="D30" s="110" t="s">
        <v>252</v>
      </c>
      <c r="E30" s="77" t="s">
        <v>362</v>
      </c>
      <c r="F30" s="110" t="s">
        <v>254</v>
      </c>
      <c r="G30" s="110">
        <v>1</v>
      </c>
      <c r="H30" s="110">
        <v>1</v>
      </c>
      <c r="I30" s="121" t="s">
        <v>348</v>
      </c>
      <c r="J30" s="122">
        <v>6057</v>
      </c>
      <c r="K30" s="10" t="s">
        <v>1251</v>
      </c>
      <c r="L30" s="2" t="s">
        <v>1247</v>
      </c>
      <c r="M30" s="2" t="s">
        <v>368</v>
      </c>
      <c r="N30" s="77">
        <f t="shared" si="5"/>
        <v>26</v>
      </c>
      <c r="O30" s="77">
        <f>COUNTIF($F$2:F30,"=W")</f>
        <v>5</v>
      </c>
      <c r="P30" s="77">
        <f>COUNTIF($F$2:F30,"=D")</f>
        <v>9</v>
      </c>
      <c r="Q30" s="77">
        <f>COUNTIF($F$2:F30,"=L")</f>
        <v>12</v>
      </c>
      <c r="R30" s="77">
        <f t="shared" si="0"/>
        <v>28</v>
      </c>
      <c r="S30" s="77">
        <f t="shared" si="1"/>
        <v>36</v>
      </c>
    </row>
    <row r="31" spans="1:19" x14ac:dyDescent="0.2">
      <c r="A31" s="10">
        <f t="shared" si="4"/>
        <v>27</v>
      </c>
      <c r="B31" s="120">
        <v>41036</v>
      </c>
      <c r="C31" s="77" t="s">
        <v>326</v>
      </c>
      <c r="D31" s="110" t="s">
        <v>261</v>
      </c>
      <c r="E31" s="77" t="s">
        <v>1002</v>
      </c>
      <c r="F31" s="110" t="s">
        <v>281</v>
      </c>
      <c r="G31" s="110">
        <v>1</v>
      </c>
      <c r="H31" s="110">
        <v>0</v>
      </c>
      <c r="I31" s="110" t="s">
        <v>270</v>
      </c>
      <c r="J31" s="122">
        <v>7294</v>
      </c>
      <c r="K31" s="123" t="s">
        <v>1003</v>
      </c>
      <c r="L31" s="2" t="s">
        <v>1247</v>
      </c>
      <c r="M31" s="2" t="s">
        <v>368</v>
      </c>
      <c r="N31" s="77">
        <f t="shared" si="5"/>
        <v>27</v>
      </c>
      <c r="O31" s="77">
        <f>COUNTIF($F$2:F31,"=W")</f>
        <v>6</v>
      </c>
      <c r="P31" s="77">
        <f>COUNTIF($F$2:F31,"=D")</f>
        <v>9</v>
      </c>
      <c r="Q31" s="77">
        <f>COUNTIF($F$2:F31,"=L")</f>
        <v>12</v>
      </c>
      <c r="R31" s="77">
        <f t="shared" si="0"/>
        <v>29</v>
      </c>
      <c r="S31" s="77">
        <f t="shared" si="1"/>
        <v>36</v>
      </c>
    </row>
    <row r="32" spans="1:19" x14ac:dyDescent="0.2">
      <c r="A32" s="10">
        <f t="shared" ref="A32:A44" si="6">A31+1</f>
        <v>28</v>
      </c>
      <c r="B32" s="120">
        <v>41049</v>
      </c>
      <c r="C32" s="77" t="s">
        <v>326</v>
      </c>
      <c r="D32" s="110" t="s">
        <v>747</v>
      </c>
      <c r="E32" s="77" t="s">
        <v>483</v>
      </c>
      <c r="F32" s="110" t="s">
        <v>281</v>
      </c>
      <c r="G32" s="110">
        <v>2</v>
      </c>
      <c r="H32" s="110">
        <v>1</v>
      </c>
      <c r="I32" s="121" t="s">
        <v>348</v>
      </c>
      <c r="J32" s="122">
        <v>39265</v>
      </c>
      <c r="K32" s="10" t="s">
        <v>1252</v>
      </c>
      <c r="L32" s="2" t="s">
        <v>1247</v>
      </c>
      <c r="M32" s="2" t="s">
        <v>368</v>
      </c>
      <c r="N32" s="77">
        <f t="shared" si="5"/>
        <v>28</v>
      </c>
      <c r="O32" s="77">
        <f>COUNTIF($F$2:F32,"=W")</f>
        <v>7</v>
      </c>
      <c r="P32" s="77">
        <f>COUNTIF($F$2:F32,"=D")</f>
        <v>9</v>
      </c>
      <c r="Q32" s="77">
        <f>COUNTIF($F$2:F32,"=L")</f>
        <v>12</v>
      </c>
      <c r="R32" s="77">
        <f t="shared" si="0"/>
        <v>31</v>
      </c>
      <c r="S32" s="77">
        <f t="shared" si="1"/>
        <v>37</v>
      </c>
    </row>
    <row r="33" spans="1:20" x14ac:dyDescent="0.2">
      <c r="A33" s="10">
        <f t="shared" si="6"/>
        <v>29</v>
      </c>
      <c r="B33" s="120">
        <v>41225</v>
      </c>
      <c r="C33" s="77" t="s">
        <v>1022</v>
      </c>
      <c r="D33" s="110" t="s">
        <v>261</v>
      </c>
      <c r="E33" s="77" t="s">
        <v>1023</v>
      </c>
      <c r="F33" s="110" t="s">
        <v>268</v>
      </c>
      <c r="G33" s="110">
        <v>3</v>
      </c>
      <c r="H33" s="110">
        <v>4</v>
      </c>
      <c r="I33" s="121" t="s">
        <v>348</v>
      </c>
      <c r="J33" s="122">
        <v>1954</v>
      </c>
      <c r="K33" s="123" t="s">
        <v>1253</v>
      </c>
      <c r="L33" s="2" t="s">
        <v>1254</v>
      </c>
      <c r="M33" s="2" t="s">
        <v>368</v>
      </c>
      <c r="N33" s="77">
        <f t="shared" si="5"/>
        <v>29</v>
      </c>
      <c r="O33" s="77">
        <f>COUNTIF($F$2:F33,"=W")</f>
        <v>7</v>
      </c>
      <c r="P33" s="77">
        <f>COUNTIF($F$2:F33,"=D")</f>
        <v>9</v>
      </c>
      <c r="Q33" s="77">
        <f>COUNTIF($F$2:F33,"=L")</f>
        <v>13</v>
      </c>
      <c r="R33" s="77">
        <f t="shared" si="0"/>
        <v>34</v>
      </c>
      <c r="S33" s="77">
        <f t="shared" si="1"/>
        <v>41</v>
      </c>
    </row>
    <row r="34" spans="1:20" x14ac:dyDescent="0.2">
      <c r="A34" s="10">
        <f t="shared" si="6"/>
        <v>30</v>
      </c>
      <c r="B34" s="111">
        <v>41771</v>
      </c>
      <c r="C34" s="2" t="s">
        <v>1030</v>
      </c>
      <c r="D34" s="23" t="s">
        <v>252</v>
      </c>
      <c r="E34" s="2" t="s">
        <v>1028</v>
      </c>
      <c r="F34" s="23" t="s">
        <v>268</v>
      </c>
      <c r="G34" s="23">
        <v>0</v>
      </c>
      <c r="H34" s="23">
        <v>1</v>
      </c>
      <c r="I34" s="23" t="s">
        <v>270</v>
      </c>
      <c r="J34" s="124">
        <v>5124</v>
      </c>
      <c r="K34" s="6" t="s">
        <v>1029</v>
      </c>
      <c r="L34" s="2" t="s">
        <v>1229</v>
      </c>
      <c r="M34" s="2" t="s">
        <v>368</v>
      </c>
      <c r="N34" s="77">
        <f t="shared" ref="N34:N41" si="7">SUM(O34:Q34)</f>
        <v>30</v>
      </c>
      <c r="O34" s="77">
        <f>COUNTIF($F$2:F34,"=W")</f>
        <v>7</v>
      </c>
      <c r="P34" s="77">
        <f>COUNTIF($F$2:F34,"=D")</f>
        <v>9</v>
      </c>
      <c r="Q34" s="77">
        <f>COUNTIF($F$2:F34,"=L")</f>
        <v>14</v>
      </c>
      <c r="R34" s="77">
        <f t="shared" si="0"/>
        <v>34</v>
      </c>
      <c r="S34" s="77">
        <f t="shared" si="1"/>
        <v>42</v>
      </c>
    </row>
    <row r="35" spans="1:20" x14ac:dyDescent="0.2">
      <c r="A35" s="10">
        <f t="shared" si="6"/>
        <v>31</v>
      </c>
      <c r="B35" s="111">
        <v>41775</v>
      </c>
      <c r="C35" s="2" t="s">
        <v>1031</v>
      </c>
      <c r="D35" s="23" t="s">
        <v>261</v>
      </c>
      <c r="E35" s="2" t="s">
        <v>983</v>
      </c>
      <c r="F35" s="23" t="s">
        <v>254</v>
      </c>
      <c r="G35" s="23">
        <v>0</v>
      </c>
      <c r="H35" s="23">
        <v>0</v>
      </c>
      <c r="I35" s="23" t="s">
        <v>270</v>
      </c>
      <c r="J35" s="124">
        <v>5194</v>
      </c>
      <c r="L35" s="2" t="s">
        <v>1229</v>
      </c>
      <c r="M35" s="2" t="s">
        <v>368</v>
      </c>
      <c r="N35" s="77">
        <f t="shared" si="7"/>
        <v>31</v>
      </c>
      <c r="O35" s="77">
        <f>COUNTIF($F$2:F35,"=W")</f>
        <v>7</v>
      </c>
      <c r="P35" s="77">
        <f>COUNTIF($F$2:F35,"=D")</f>
        <v>10</v>
      </c>
      <c r="Q35" s="77">
        <f>COUNTIF($F$2:F35,"=L")</f>
        <v>14</v>
      </c>
      <c r="R35" s="77">
        <f t="shared" si="0"/>
        <v>34</v>
      </c>
      <c r="S35" s="77">
        <f t="shared" si="1"/>
        <v>42</v>
      </c>
    </row>
    <row r="36" spans="1:20" x14ac:dyDescent="0.2">
      <c r="A36" s="10">
        <f t="shared" si="6"/>
        <v>32</v>
      </c>
      <c r="B36" s="120">
        <v>42588</v>
      </c>
      <c r="C36" s="77" t="s">
        <v>1081</v>
      </c>
      <c r="D36" s="110" t="s">
        <v>261</v>
      </c>
      <c r="E36" s="77" t="s">
        <v>1082</v>
      </c>
      <c r="F36" s="110" t="s">
        <v>254</v>
      </c>
      <c r="G36" s="110">
        <v>1</v>
      </c>
      <c r="H36" s="110">
        <v>1</v>
      </c>
      <c r="I36" s="121" t="s">
        <v>255</v>
      </c>
      <c r="J36" s="122">
        <v>2495</v>
      </c>
      <c r="K36" s="6" t="s">
        <v>1255</v>
      </c>
      <c r="L36" s="2" t="s">
        <v>1256</v>
      </c>
      <c r="M36" s="2" t="s">
        <v>368</v>
      </c>
      <c r="N36" s="77">
        <f t="shared" si="7"/>
        <v>32</v>
      </c>
      <c r="O36" s="77">
        <f>COUNTIF($F$2:F36,"=W")</f>
        <v>7</v>
      </c>
      <c r="P36" s="77">
        <f>COUNTIF($F$2:F36,"=D")</f>
        <v>11</v>
      </c>
      <c r="Q36" s="77">
        <f>COUNTIF($F$2:F36,"=L")</f>
        <v>14</v>
      </c>
      <c r="R36" s="77">
        <f t="shared" si="0"/>
        <v>35</v>
      </c>
      <c r="S36" s="77">
        <f t="shared" si="1"/>
        <v>43</v>
      </c>
    </row>
    <row r="37" spans="1:20" x14ac:dyDescent="0.2">
      <c r="A37" s="10">
        <f t="shared" si="6"/>
        <v>33</v>
      </c>
      <c r="B37" s="120">
        <v>42854</v>
      </c>
      <c r="C37" s="77" t="s">
        <v>1081</v>
      </c>
      <c r="D37" s="110" t="s">
        <v>252</v>
      </c>
      <c r="E37" s="77" t="s">
        <v>1091</v>
      </c>
      <c r="F37" s="110" t="s">
        <v>254</v>
      </c>
      <c r="G37" s="110">
        <v>2</v>
      </c>
      <c r="H37" s="110">
        <v>2</v>
      </c>
      <c r="I37" s="121" t="s">
        <v>975</v>
      </c>
      <c r="J37" s="122">
        <v>3984</v>
      </c>
      <c r="K37" s="6" t="s">
        <v>1257</v>
      </c>
      <c r="L37" s="2" t="s">
        <v>1256</v>
      </c>
      <c r="M37" s="2" t="s">
        <v>368</v>
      </c>
      <c r="N37" s="77">
        <f t="shared" si="7"/>
        <v>33</v>
      </c>
      <c r="O37" s="77">
        <f>COUNTIF($F$2:F37,"=W")</f>
        <v>7</v>
      </c>
      <c r="P37" s="77">
        <f>COUNTIF($F$2:F37,"=D")</f>
        <v>12</v>
      </c>
      <c r="Q37" s="77">
        <f>COUNTIF($F$2:F37,"=L")</f>
        <v>14</v>
      </c>
      <c r="R37" s="77">
        <f t="shared" si="0"/>
        <v>37</v>
      </c>
      <c r="S37" s="77">
        <f t="shared" si="1"/>
        <v>45</v>
      </c>
    </row>
    <row r="38" spans="1:20" x14ac:dyDescent="0.2">
      <c r="A38" s="10">
        <f t="shared" si="6"/>
        <v>34</v>
      </c>
      <c r="B38" s="120">
        <v>42876</v>
      </c>
      <c r="C38" s="77" t="s">
        <v>746</v>
      </c>
      <c r="D38" s="110" t="s">
        <v>747</v>
      </c>
      <c r="E38" s="77" t="s">
        <v>1089</v>
      </c>
      <c r="F38" s="110" t="s">
        <v>281</v>
      </c>
      <c r="G38" s="110">
        <v>3</v>
      </c>
      <c r="H38" s="110">
        <v>2</v>
      </c>
      <c r="I38" s="121" t="s">
        <v>1090</v>
      </c>
      <c r="J38" s="122">
        <v>38224</v>
      </c>
      <c r="K38" s="125" t="s">
        <v>1258</v>
      </c>
      <c r="L38" s="2" t="s">
        <v>1256</v>
      </c>
      <c r="M38" s="2" t="s">
        <v>368</v>
      </c>
      <c r="N38" s="77">
        <f t="shared" si="7"/>
        <v>34</v>
      </c>
      <c r="O38" s="77">
        <f>COUNTIF($F$2:F38,"=W")</f>
        <v>8</v>
      </c>
      <c r="P38" s="77">
        <f>COUNTIF($F$2:F38,"=D")</f>
        <v>12</v>
      </c>
      <c r="Q38" s="77">
        <f>COUNTIF($F$2:F38,"=L")</f>
        <v>14</v>
      </c>
      <c r="R38" s="77">
        <f t="shared" si="0"/>
        <v>40</v>
      </c>
      <c r="S38" s="77">
        <f t="shared" si="1"/>
        <v>47</v>
      </c>
    </row>
    <row r="39" spans="1:20" x14ac:dyDescent="0.2">
      <c r="A39" s="10">
        <f t="shared" si="6"/>
        <v>35</v>
      </c>
      <c r="B39" s="120">
        <v>43729</v>
      </c>
      <c r="C39" s="77" t="s">
        <v>1155</v>
      </c>
      <c r="D39" s="110" t="s">
        <v>261</v>
      </c>
      <c r="E39" s="77" t="s">
        <v>1156</v>
      </c>
      <c r="F39" s="110" t="s">
        <v>281</v>
      </c>
      <c r="G39" s="110">
        <v>2</v>
      </c>
      <c r="H39" s="110">
        <v>0</v>
      </c>
      <c r="I39" s="121" t="s">
        <v>359</v>
      </c>
      <c r="J39" s="122">
        <v>798</v>
      </c>
      <c r="K39" s="123" t="s">
        <v>1157</v>
      </c>
      <c r="L39" s="2" t="s">
        <v>1158</v>
      </c>
      <c r="M39" s="2" t="s">
        <v>368</v>
      </c>
      <c r="N39" s="77">
        <f t="shared" si="7"/>
        <v>35</v>
      </c>
      <c r="O39" s="77">
        <f>COUNTIF($F$2:F39,"=W")</f>
        <v>9</v>
      </c>
      <c r="P39" s="77">
        <f>COUNTIF($F$2:F39,"=D")</f>
        <v>12</v>
      </c>
      <c r="Q39" s="77">
        <f>COUNTIF($F$2:F39,"=L")</f>
        <v>14</v>
      </c>
      <c r="R39" s="77">
        <f t="shared" si="0"/>
        <v>42</v>
      </c>
      <c r="S39" s="77">
        <f t="shared" si="1"/>
        <v>47</v>
      </c>
    </row>
    <row r="40" spans="1:20" x14ac:dyDescent="0.2">
      <c r="A40" s="10">
        <f t="shared" si="6"/>
        <v>36</v>
      </c>
      <c r="B40" s="120">
        <v>43757</v>
      </c>
      <c r="C40" s="77" t="s">
        <v>1159</v>
      </c>
      <c r="D40" s="110" t="s">
        <v>252</v>
      </c>
      <c r="E40" s="77" t="s">
        <v>1160</v>
      </c>
      <c r="F40" s="110" t="s">
        <v>281</v>
      </c>
      <c r="G40" s="110">
        <v>2</v>
      </c>
      <c r="H40" s="110">
        <v>0</v>
      </c>
      <c r="I40" s="121" t="s">
        <v>1161</v>
      </c>
      <c r="J40" s="122">
        <v>2870</v>
      </c>
      <c r="K40" s="123" t="s">
        <v>1162</v>
      </c>
      <c r="L40" s="2" t="s">
        <v>1256</v>
      </c>
      <c r="M40" s="2" t="s">
        <v>368</v>
      </c>
      <c r="N40" s="77">
        <f t="shared" si="7"/>
        <v>36</v>
      </c>
      <c r="O40" s="77">
        <f>COUNTIF($F$2:F40,"=W")</f>
        <v>10</v>
      </c>
      <c r="P40" s="77">
        <f>COUNTIF($F$2:F40,"=D")</f>
        <v>12</v>
      </c>
      <c r="Q40" s="77">
        <f>COUNTIF($F$2:F40,"=L")</f>
        <v>14</v>
      </c>
      <c r="R40" s="77">
        <f t="shared" si="0"/>
        <v>44</v>
      </c>
      <c r="S40" s="77">
        <f t="shared" si="1"/>
        <v>47</v>
      </c>
    </row>
    <row r="41" spans="1:20" x14ac:dyDescent="0.2">
      <c r="A41" s="10">
        <f t="shared" si="6"/>
        <v>37</v>
      </c>
      <c r="B41" s="120">
        <v>44107</v>
      </c>
      <c r="C41" s="77" t="s">
        <v>1155</v>
      </c>
      <c r="D41" s="110" t="s">
        <v>261</v>
      </c>
      <c r="E41" s="77" t="s">
        <v>1174</v>
      </c>
      <c r="F41" s="110" t="s">
        <v>281</v>
      </c>
      <c r="G41" s="110">
        <v>1</v>
      </c>
      <c r="H41" s="110">
        <v>0</v>
      </c>
      <c r="I41" s="121" t="s">
        <v>359</v>
      </c>
      <c r="J41" s="122">
        <v>300</v>
      </c>
      <c r="K41" s="123" t="s">
        <v>1175</v>
      </c>
      <c r="L41" s="2" t="s">
        <v>1158</v>
      </c>
      <c r="M41" s="2" t="s">
        <v>368</v>
      </c>
      <c r="N41" s="77">
        <f t="shared" si="7"/>
        <v>37</v>
      </c>
      <c r="O41" s="77">
        <f>COUNTIF($F$2:F41,"=W")</f>
        <v>11</v>
      </c>
      <c r="P41" s="77">
        <f>COUNTIF($F$2:F41,"=D")</f>
        <v>12</v>
      </c>
      <c r="Q41" s="77">
        <f>COUNTIF($F$2:F41,"=L")</f>
        <v>14</v>
      </c>
      <c r="R41" s="77">
        <f t="shared" si="0"/>
        <v>45</v>
      </c>
      <c r="S41" s="77">
        <f t="shared" si="1"/>
        <v>47</v>
      </c>
    </row>
    <row r="42" spans="1:20" x14ac:dyDescent="0.2">
      <c r="A42" s="10">
        <f t="shared" si="6"/>
        <v>38</v>
      </c>
      <c r="B42" s="120">
        <v>44790</v>
      </c>
      <c r="C42" s="77" t="s">
        <v>1081</v>
      </c>
      <c r="D42" s="110" t="s">
        <v>261</v>
      </c>
      <c r="E42" s="77" t="s">
        <v>1438</v>
      </c>
      <c r="F42" s="110" t="s">
        <v>254</v>
      </c>
      <c r="G42" s="110">
        <v>1</v>
      </c>
      <c r="H42" s="110">
        <v>1</v>
      </c>
      <c r="I42" s="110" t="s">
        <v>270</v>
      </c>
      <c r="J42" s="122">
        <v>1125</v>
      </c>
      <c r="K42" s="6" t="s">
        <v>1441</v>
      </c>
      <c r="L42" s="2" t="s">
        <v>1256</v>
      </c>
      <c r="M42" s="2" t="s">
        <v>368</v>
      </c>
      <c r="N42" s="77">
        <f>SUM(O42:Q42)</f>
        <v>38</v>
      </c>
      <c r="O42" s="77">
        <f>COUNTIF($F$2:F42,"=W")</f>
        <v>11</v>
      </c>
      <c r="P42" s="77">
        <f>COUNTIF($F$2:F42,"=D")</f>
        <v>13</v>
      </c>
      <c r="Q42" s="77">
        <f>COUNTIF($F$2:F42,"=L")</f>
        <v>14</v>
      </c>
      <c r="R42" s="77">
        <f t="shared" si="0"/>
        <v>46</v>
      </c>
      <c r="S42" s="77">
        <f t="shared" si="1"/>
        <v>48</v>
      </c>
      <c r="T42" s="2" t="s">
        <v>1435</v>
      </c>
    </row>
    <row r="43" spans="1:20" x14ac:dyDescent="0.2">
      <c r="A43" s="10">
        <f t="shared" si="6"/>
        <v>39</v>
      </c>
      <c r="B43" s="120">
        <v>44877</v>
      </c>
      <c r="C43" s="77" t="s">
        <v>1081</v>
      </c>
      <c r="D43" s="110" t="s">
        <v>261</v>
      </c>
      <c r="E43" s="77" t="s">
        <v>562</v>
      </c>
      <c r="F43" s="110" t="s">
        <v>268</v>
      </c>
      <c r="G43" s="110">
        <v>1</v>
      </c>
      <c r="H43" s="110">
        <v>2</v>
      </c>
      <c r="I43" s="121" t="s">
        <v>359</v>
      </c>
      <c r="J43" s="122">
        <v>2371</v>
      </c>
      <c r="K43" s="6" t="s">
        <v>1440</v>
      </c>
      <c r="L43" s="2" t="s">
        <v>1256</v>
      </c>
      <c r="M43" s="10" t="s">
        <v>1434</v>
      </c>
      <c r="N43" s="77">
        <f>SUM(O43:Q43)</f>
        <v>39</v>
      </c>
      <c r="O43" s="77">
        <f>COUNTIF($F$2:F43,"=W")</f>
        <v>11</v>
      </c>
      <c r="P43" s="77">
        <f>COUNTIF($F$2:F43,"=D")</f>
        <v>13</v>
      </c>
      <c r="Q43" s="77">
        <f>COUNTIF($F$2:F43,"=L")</f>
        <v>15</v>
      </c>
      <c r="R43" s="77">
        <f t="shared" ref="R43:S46" si="8">R42+G43</f>
        <v>47</v>
      </c>
      <c r="S43" s="77">
        <f t="shared" si="8"/>
        <v>50</v>
      </c>
      <c r="T43" s="2" t="s">
        <v>1621</v>
      </c>
    </row>
    <row r="44" spans="1:20" x14ac:dyDescent="0.2">
      <c r="A44" s="10">
        <f t="shared" si="6"/>
        <v>40</v>
      </c>
      <c r="B44" s="120">
        <v>44898</v>
      </c>
      <c r="C44" s="77" t="s">
        <v>1081</v>
      </c>
      <c r="D44" s="110" t="s">
        <v>252</v>
      </c>
      <c r="E44" s="77" t="s">
        <v>364</v>
      </c>
      <c r="F44" s="110" t="s">
        <v>254</v>
      </c>
      <c r="G44" s="110">
        <v>1</v>
      </c>
      <c r="H44" s="110">
        <v>1</v>
      </c>
      <c r="I44" s="110" t="s">
        <v>270</v>
      </c>
      <c r="J44" s="122">
        <v>7145</v>
      </c>
      <c r="K44" s="6" t="s">
        <v>1439</v>
      </c>
      <c r="L44" s="2" t="s">
        <v>1256</v>
      </c>
      <c r="M44" s="2" t="s">
        <v>368</v>
      </c>
      <c r="N44" s="77">
        <f>SUM(O44:Q44)</f>
        <v>40</v>
      </c>
      <c r="O44" s="77">
        <f>COUNTIF($F$2:F44,"=W")</f>
        <v>11</v>
      </c>
      <c r="P44" s="77">
        <f>COUNTIF($F$2:F44,"=D")</f>
        <v>14</v>
      </c>
      <c r="Q44" s="77">
        <f>COUNTIF($F$2:F44,"=L")</f>
        <v>15</v>
      </c>
      <c r="R44" s="77">
        <f t="shared" si="8"/>
        <v>48</v>
      </c>
      <c r="S44" s="77">
        <f t="shared" si="8"/>
        <v>51</v>
      </c>
      <c r="T44" s="2" t="s">
        <v>1622</v>
      </c>
    </row>
    <row r="45" spans="1:20" x14ac:dyDescent="0.2">
      <c r="A45" s="10">
        <v>41</v>
      </c>
      <c r="B45" s="120">
        <v>45227</v>
      </c>
      <c r="C45" s="77" t="s">
        <v>1081</v>
      </c>
      <c r="D45" s="110" t="s">
        <v>252</v>
      </c>
      <c r="E45" s="77" t="s">
        <v>349</v>
      </c>
      <c r="F45" s="110" t="s">
        <v>254</v>
      </c>
      <c r="G45" s="110">
        <v>1</v>
      </c>
      <c r="H45" s="110">
        <v>1</v>
      </c>
      <c r="I45" s="121" t="s">
        <v>270</v>
      </c>
      <c r="J45" s="122">
        <v>4740</v>
      </c>
      <c r="K45" s="6" t="s">
        <v>1620</v>
      </c>
      <c r="L45" s="2" t="s">
        <v>1623</v>
      </c>
      <c r="M45" s="2" t="s">
        <v>368</v>
      </c>
      <c r="N45" s="77">
        <f>SUM(O45:Q45)</f>
        <v>41</v>
      </c>
      <c r="O45" s="77">
        <f>COUNTIF($F$2:F45,"=W")</f>
        <v>11</v>
      </c>
      <c r="P45" s="77">
        <f>COUNTIF($F$2:F45,"=D")</f>
        <v>15</v>
      </c>
      <c r="Q45" s="77">
        <f>COUNTIF($F$2:F45,"=L")</f>
        <v>15</v>
      </c>
      <c r="R45" s="77">
        <f t="shared" si="8"/>
        <v>49</v>
      </c>
      <c r="S45" s="77">
        <f t="shared" si="8"/>
        <v>52</v>
      </c>
      <c r="T45" s="2" t="s">
        <v>1624</v>
      </c>
    </row>
    <row r="46" spans="1:20" x14ac:dyDescent="0.2">
      <c r="A46" s="10">
        <v>42</v>
      </c>
      <c r="B46" s="120">
        <v>45261</v>
      </c>
      <c r="C46" s="77" t="s">
        <v>251</v>
      </c>
      <c r="D46" s="110" t="s">
        <v>252</v>
      </c>
      <c r="E46" s="77" t="s">
        <v>1619</v>
      </c>
      <c r="F46" s="110" t="s">
        <v>268</v>
      </c>
      <c r="G46" s="110">
        <v>0</v>
      </c>
      <c r="H46" s="110">
        <v>1</v>
      </c>
      <c r="I46" s="121" t="s">
        <v>270</v>
      </c>
      <c r="J46" s="122">
        <v>6613</v>
      </c>
      <c r="K46" s="170">
        <v>60</v>
      </c>
      <c r="L46" s="2" t="s">
        <v>1636</v>
      </c>
      <c r="M46" s="2" t="s">
        <v>368</v>
      </c>
      <c r="N46" s="77">
        <f>SUM(O46:Q46)</f>
        <v>42</v>
      </c>
      <c r="O46" s="77">
        <f>COUNTIF($F$2:F46,"=W")</f>
        <v>11</v>
      </c>
      <c r="P46" s="77">
        <f>COUNTIF($F$2:F46,"=D")</f>
        <v>15</v>
      </c>
      <c r="Q46" s="77">
        <f>COUNTIF($F$2:F46,"=L")</f>
        <v>16</v>
      </c>
      <c r="R46" s="77">
        <f t="shared" si="8"/>
        <v>49</v>
      </c>
      <c r="S46" s="77">
        <f t="shared" si="8"/>
        <v>53</v>
      </c>
      <c r="T46" s="2" t="s">
        <v>1625</v>
      </c>
    </row>
    <row r="47" spans="1:20" x14ac:dyDescent="0.2">
      <c r="A47" s="10">
        <v>43</v>
      </c>
      <c r="B47" s="216">
        <v>45299</v>
      </c>
      <c r="C47" s="212" t="s">
        <v>1765</v>
      </c>
      <c r="D47" s="213" t="s">
        <v>261</v>
      </c>
      <c r="E47" s="212" t="s">
        <v>1777</v>
      </c>
      <c r="F47" s="213" t="s">
        <v>254</v>
      </c>
      <c r="G47" s="213">
        <v>1</v>
      </c>
      <c r="H47" s="213">
        <v>1</v>
      </c>
      <c r="I47" s="213" t="s">
        <v>270</v>
      </c>
      <c r="J47" s="214">
        <v>1367</v>
      </c>
      <c r="K47" s="215" t="s">
        <v>1898</v>
      </c>
      <c r="L47" s="211" t="s">
        <v>1899</v>
      </c>
      <c r="M47" s="2" t="s">
        <v>368</v>
      </c>
      <c r="N47" s="77"/>
      <c r="O47" s="77"/>
      <c r="P47" s="77"/>
      <c r="Q47" s="77"/>
      <c r="R47" s="77"/>
      <c r="S47" s="77"/>
    </row>
    <row r="48" spans="1:20" x14ac:dyDescent="0.2">
      <c r="A48" s="10">
        <v>44</v>
      </c>
      <c r="B48" s="216">
        <v>45570</v>
      </c>
      <c r="C48" s="212" t="s">
        <v>1765</v>
      </c>
      <c r="D48" s="213" t="s">
        <v>261</v>
      </c>
      <c r="E48" s="212" t="s">
        <v>1400</v>
      </c>
      <c r="F48" s="213" t="s">
        <v>254</v>
      </c>
      <c r="G48" s="213">
        <v>1</v>
      </c>
      <c r="H48" s="213">
        <v>1</v>
      </c>
      <c r="I48" s="213" t="s">
        <v>270</v>
      </c>
      <c r="J48" s="214">
        <v>2361</v>
      </c>
      <c r="K48" s="232" t="s">
        <v>1900</v>
      </c>
      <c r="L48" s="211" t="s">
        <v>1778</v>
      </c>
      <c r="M48" s="2" t="s">
        <v>368</v>
      </c>
      <c r="N48" s="77"/>
      <c r="O48" s="77"/>
      <c r="P48" s="77"/>
      <c r="Q48" s="77"/>
      <c r="R48" s="77"/>
      <c r="S48" s="77"/>
    </row>
    <row r="49" spans="1:19" x14ac:dyDescent="0.2">
      <c r="A49" s="10">
        <v>45</v>
      </c>
      <c r="B49" s="216">
        <v>45612</v>
      </c>
      <c r="C49" s="212" t="s">
        <v>1765</v>
      </c>
      <c r="D49" s="213" t="s">
        <v>261</v>
      </c>
      <c r="E49" s="212" t="s">
        <v>1887</v>
      </c>
      <c r="F49" s="213" t="s">
        <v>268</v>
      </c>
      <c r="G49" s="213">
        <v>0</v>
      </c>
      <c r="H49" s="213">
        <v>2</v>
      </c>
      <c r="I49" s="213" t="s">
        <v>270</v>
      </c>
      <c r="J49" s="214">
        <v>2697</v>
      </c>
      <c r="K49" s="215" t="s">
        <v>1890</v>
      </c>
      <c r="L49" s="211" t="s">
        <v>1888</v>
      </c>
      <c r="M49" s="2" t="s">
        <v>368</v>
      </c>
      <c r="N49" s="77"/>
      <c r="O49" s="77"/>
      <c r="P49" s="77"/>
      <c r="Q49" s="77"/>
      <c r="R49" s="77"/>
      <c r="S49" s="77"/>
    </row>
    <row r="50" spans="1:19" x14ac:dyDescent="0.2">
      <c r="A50" s="10">
        <v>46</v>
      </c>
      <c r="B50" s="216">
        <v>45652</v>
      </c>
      <c r="C50" s="212" t="s">
        <v>1765</v>
      </c>
      <c r="D50" s="213" t="s">
        <v>261</v>
      </c>
      <c r="E50" s="212" t="s">
        <v>1893</v>
      </c>
      <c r="F50" s="213" t="s">
        <v>356</v>
      </c>
      <c r="L50" s="211" t="s">
        <v>1897</v>
      </c>
      <c r="M50" s="2" t="s">
        <v>368</v>
      </c>
      <c r="N50" s="77"/>
      <c r="O50" s="77"/>
      <c r="P50" s="77"/>
      <c r="Q50" s="77"/>
      <c r="R50" s="77"/>
      <c r="S50" s="77"/>
    </row>
    <row r="51" spans="1:19" x14ac:dyDescent="0.2">
      <c r="A51" s="10">
        <v>47</v>
      </c>
      <c r="B51" s="216">
        <v>45724</v>
      </c>
      <c r="C51" s="212" t="s">
        <v>1765</v>
      </c>
      <c r="D51" s="213" t="s">
        <v>252</v>
      </c>
      <c r="E51" s="212" t="s">
        <v>1091</v>
      </c>
      <c r="F51" s="213" t="s">
        <v>254</v>
      </c>
      <c r="G51" s="213">
        <v>1</v>
      </c>
      <c r="H51" s="213">
        <v>1</v>
      </c>
      <c r="I51" s="213" t="s">
        <v>270</v>
      </c>
      <c r="J51" s="214">
        <v>6810</v>
      </c>
      <c r="K51" s="215" t="s">
        <v>1901</v>
      </c>
      <c r="L51" s="211" t="s">
        <v>1888</v>
      </c>
      <c r="M51" s="2" t="s">
        <v>368</v>
      </c>
      <c r="N51" s="77"/>
      <c r="O51" s="77"/>
      <c r="P51" s="77"/>
      <c r="Q51" s="77"/>
      <c r="R51" s="77"/>
      <c r="S51" s="77"/>
    </row>
    <row r="52" spans="1:19" x14ac:dyDescent="0.2">
      <c r="A52" s="10"/>
      <c r="B52" s="216"/>
      <c r="C52" s="212"/>
      <c r="D52" s="213"/>
      <c r="E52" s="212"/>
      <c r="F52" s="213"/>
      <c r="G52" s="213"/>
      <c r="H52" s="213"/>
      <c r="I52" s="213"/>
      <c r="J52" s="214"/>
      <c r="K52" s="215"/>
      <c r="L52" s="211"/>
      <c r="N52" s="77"/>
      <c r="O52" s="77"/>
      <c r="P52" s="77"/>
      <c r="Q52" s="77"/>
      <c r="R52" s="77"/>
      <c r="S52" s="77"/>
    </row>
    <row r="53" spans="1:19" x14ac:dyDescent="0.2">
      <c r="A53" s="10"/>
      <c r="B53" s="216"/>
      <c r="C53" s="212"/>
      <c r="D53" s="213"/>
      <c r="E53" s="212"/>
      <c r="F53" s="213"/>
      <c r="G53" s="213"/>
      <c r="H53" s="213"/>
      <c r="I53" s="213"/>
      <c r="J53" s="214"/>
      <c r="K53" s="215"/>
      <c r="L53" s="211"/>
      <c r="N53" s="77"/>
      <c r="O53" s="77"/>
      <c r="P53" s="77"/>
      <c r="Q53" s="77"/>
      <c r="R53" s="77"/>
      <c r="S53" s="77"/>
    </row>
    <row r="54" spans="1:19" x14ac:dyDescent="0.2">
      <c r="A54" s="10"/>
      <c r="D54" s="112"/>
    </row>
    <row r="55" spans="1:19" x14ac:dyDescent="0.2">
      <c r="A55" s="10"/>
      <c r="B55" s="6" t="s">
        <v>290</v>
      </c>
      <c r="D55" s="112"/>
    </row>
    <row r="56" spans="1:19" x14ac:dyDescent="0.2">
      <c r="A56" s="10"/>
      <c r="B56" s="117">
        <v>27125</v>
      </c>
      <c r="C56" s="22" t="s">
        <v>288</v>
      </c>
      <c r="D56" s="118" t="s">
        <v>261</v>
      </c>
      <c r="E56" s="22" t="s">
        <v>329</v>
      </c>
      <c r="F56" s="118" t="s">
        <v>254</v>
      </c>
      <c r="G56" s="118">
        <v>0</v>
      </c>
      <c r="H56" s="118">
        <v>0</v>
      </c>
      <c r="I56" s="118"/>
      <c r="J56" s="119">
        <v>7866</v>
      </c>
      <c r="K56" s="22"/>
      <c r="L56" s="2" t="s">
        <v>1259</v>
      </c>
    </row>
    <row r="57" spans="1:19" x14ac:dyDescent="0.2">
      <c r="A57" s="10"/>
      <c r="B57" s="117">
        <v>28021</v>
      </c>
      <c r="C57" s="22" t="s">
        <v>288</v>
      </c>
      <c r="D57" s="118" t="s">
        <v>261</v>
      </c>
      <c r="E57" s="22" t="s">
        <v>277</v>
      </c>
      <c r="F57" s="118" t="s">
        <v>268</v>
      </c>
      <c r="G57" s="118">
        <v>2</v>
      </c>
      <c r="H57" s="118">
        <v>7</v>
      </c>
      <c r="I57" s="118"/>
      <c r="J57" s="119">
        <v>15605</v>
      </c>
      <c r="K57" s="22" t="s">
        <v>278</v>
      </c>
      <c r="L57" s="4" t="s">
        <v>345</v>
      </c>
      <c r="M57" s="2" t="s">
        <v>368</v>
      </c>
    </row>
    <row r="58" spans="1:19" ht="22.5" x14ac:dyDescent="0.2">
      <c r="A58" s="10"/>
      <c r="B58" s="114">
        <v>28864</v>
      </c>
      <c r="C58" s="115" t="s">
        <v>279</v>
      </c>
      <c r="D58" s="30" t="s">
        <v>252</v>
      </c>
      <c r="E58" s="29" t="s">
        <v>280</v>
      </c>
      <c r="F58" s="30" t="s">
        <v>281</v>
      </c>
      <c r="G58" s="30">
        <v>2</v>
      </c>
      <c r="H58" s="30">
        <v>0</v>
      </c>
      <c r="I58" s="30"/>
      <c r="J58" s="116">
        <v>6730</v>
      </c>
      <c r="K58" s="29" t="s">
        <v>282</v>
      </c>
      <c r="L58" s="126" t="s">
        <v>1260</v>
      </c>
      <c r="M58" s="2" t="s">
        <v>368</v>
      </c>
    </row>
    <row r="59" spans="1:19" x14ac:dyDescent="0.2">
      <c r="A59" s="10"/>
      <c r="B59" s="117">
        <v>30716</v>
      </c>
      <c r="C59" s="22" t="s">
        <v>287</v>
      </c>
      <c r="D59" s="118" t="s">
        <v>261</v>
      </c>
      <c r="E59" s="22" t="s">
        <v>286</v>
      </c>
      <c r="F59" s="118" t="s">
        <v>268</v>
      </c>
      <c r="G59" s="118">
        <v>0</v>
      </c>
      <c r="H59" s="118">
        <v>3</v>
      </c>
      <c r="I59" s="118"/>
      <c r="J59" s="119">
        <v>6010</v>
      </c>
      <c r="L59" s="4" t="s">
        <v>345</v>
      </c>
    </row>
    <row r="60" spans="1:19" x14ac:dyDescent="0.2">
      <c r="B60" s="114">
        <v>31073</v>
      </c>
      <c r="C60" s="115" t="s">
        <v>283</v>
      </c>
      <c r="D60" s="30" t="s">
        <v>252</v>
      </c>
      <c r="E60" s="29" t="s">
        <v>284</v>
      </c>
      <c r="F60" s="30" t="s">
        <v>281</v>
      </c>
      <c r="G60" s="30">
        <v>1</v>
      </c>
      <c r="H60" s="30">
        <v>0</v>
      </c>
      <c r="I60" s="30"/>
      <c r="J60" s="116">
        <v>10840</v>
      </c>
      <c r="K60" s="29" t="s">
        <v>285</v>
      </c>
      <c r="L60" s="2" t="s">
        <v>1261</v>
      </c>
      <c r="M60" s="2" t="s">
        <v>368</v>
      </c>
    </row>
    <row r="61" spans="1:19" x14ac:dyDescent="0.2">
      <c r="B61" s="114">
        <v>31094</v>
      </c>
      <c r="C61" s="115" t="s">
        <v>330</v>
      </c>
      <c r="D61" s="30" t="s">
        <v>252</v>
      </c>
      <c r="E61" s="29" t="s">
        <v>331</v>
      </c>
      <c r="F61" s="30" t="s">
        <v>254</v>
      </c>
      <c r="G61" s="30">
        <v>1</v>
      </c>
      <c r="H61" s="30">
        <v>1</v>
      </c>
      <c r="I61" s="30"/>
      <c r="J61" s="116">
        <v>13485</v>
      </c>
      <c r="K61" s="29" t="s">
        <v>332</v>
      </c>
      <c r="L61" s="4" t="s">
        <v>345</v>
      </c>
      <c r="M61" s="2" t="s">
        <v>368</v>
      </c>
    </row>
    <row r="62" spans="1:19" x14ac:dyDescent="0.2">
      <c r="B62" s="114">
        <v>31458</v>
      </c>
      <c r="C62" s="115" t="s">
        <v>330</v>
      </c>
      <c r="D62" s="30" t="s">
        <v>252</v>
      </c>
      <c r="E62" s="29" t="s">
        <v>331</v>
      </c>
      <c r="F62" s="30" t="s">
        <v>254</v>
      </c>
      <c r="G62" s="30">
        <v>1</v>
      </c>
      <c r="H62" s="30">
        <v>1</v>
      </c>
      <c r="I62" s="30"/>
      <c r="J62" s="116">
        <v>12752</v>
      </c>
      <c r="K62" s="29" t="s">
        <v>333</v>
      </c>
      <c r="L62" s="4" t="s">
        <v>338</v>
      </c>
      <c r="M62" s="2" t="s">
        <v>368</v>
      </c>
    </row>
    <row r="63" spans="1:19" x14ac:dyDescent="0.2">
      <c r="E63" s="2"/>
    </row>
    <row r="64" spans="1:19" x14ac:dyDescent="0.2">
      <c r="E64" s="2"/>
    </row>
    <row r="65" spans="1:13" x14ac:dyDescent="0.2">
      <c r="A65" s="10"/>
      <c r="B65" s="6" t="s">
        <v>337</v>
      </c>
      <c r="D65" s="112"/>
    </row>
    <row r="66" spans="1:13" x14ac:dyDescent="0.2">
      <c r="B66" s="114">
        <v>25956</v>
      </c>
      <c r="C66" s="115" t="s">
        <v>283</v>
      </c>
      <c r="D66" s="30" t="s">
        <v>252</v>
      </c>
      <c r="E66" s="29" t="s">
        <v>339</v>
      </c>
      <c r="F66" s="30" t="s">
        <v>254</v>
      </c>
      <c r="G66" s="30">
        <v>3</v>
      </c>
      <c r="H66" s="30">
        <v>3</v>
      </c>
      <c r="I66" s="30" t="s">
        <v>270</v>
      </c>
      <c r="J66" s="116">
        <v>13775</v>
      </c>
      <c r="K66" s="29" t="s">
        <v>340</v>
      </c>
      <c r="L66" s="4" t="s">
        <v>338</v>
      </c>
      <c r="M66" s="2" t="s">
        <v>368</v>
      </c>
    </row>
    <row r="67" spans="1:13" x14ac:dyDescent="0.2">
      <c r="A67" s="10"/>
      <c r="B67" s="117">
        <v>26586</v>
      </c>
      <c r="C67" s="22" t="s">
        <v>288</v>
      </c>
      <c r="D67" s="118" t="s">
        <v>252</v>
      </c>
      <c r="E67" s="22" t="s">
        <v>341</v>
      </c>
      <c r="F67" s="118" t="s">
        <v>281</v>
      </c>
      <c r="G67" s="118">
        <v>2</v>
      </c>
      <c r="H67" s="118">
        <v>0</v>
      </c>
      <c r="I67" s="118"/>
      <c r="J67" s="119">
        <v>3489</v>
      </c>
      <c r="K67" s="2" t="s">
        <v>342</v>
      </c>
      <c r="L67" s="4" t="s">
        <v>338</v>
      </c>
      <c r="M67" s="2" t="s">
        <v>368</v>
      </c>
    </row>
    <row r="68" spans="1:13" x14ac:dyDescent="0.2">
      <c r="A68" s="10"/>
      <c r="B68" s="117">
        <v>27104</v>
      </c>
      <c r="C68" s="22" t="s">
        <v>288</v>
      </c>
      <c r="D68" s="118" t="s">
        <v>252</v>
      </c>
      <c r="E68" s="22" t="s">
        <v>343</v>
      </c>
      <c r="F68" s="118" t="s">
        <v>281</v>
      </c>
      <c r="G68" s="118">
        <v>2</v>
      </c>
      <c r="H68" s="118">
        <v>1</v>
      </c>
      <c r="I68" s="118"/>
      <c r="J68" s="119">
        <v>11066</v>
      </c>
      <c r="K68" s="2" t="s">
        <v>344</v>
      </c>
      <c r="L68" s="4" t="s">
        <v>338</v>
      </c>
      <c r="M68" s="2" t="s">
        <v>368</v>
      </c>
    </row>
    <row r="69" spans="1:13" x14ac:dyDescent="0.2">
      <c r="A69" s="10"/>
      <c r="B69" s="117">
        <v>27363</v>
      </c>
      <c r="C69" s="22" t="s">
        <v>336</v>
      </c>
      <c r="D69" s="118" t="s">
        <v>252</v>
      </c>
      <c r="E69" s="22" t="s">
        <v>334</v>
      </c>
      <c r="F69" s="118" t="s">
        <v>281</v>
      </c>
      <c r="G69" s="118">
        <v>1</v>
      </c>
      <c r="H69" s="118">
        <v>0</v>
      </c>
      <c r="I69" s="118"/>
      <c r="J69" s="119">
        <v>7887</v>
      </c>
      <c r="K69" s="2" t="s">
        <v>335</v>
      </c>
      <c r="L69" s="4" t="s">
        <v>338</v>
      </c>
      <c r="M69" s="2" t="s">
        <v>368</v>
      </c>
    </row>
    <row r="70" spans="1:13" x14ac:dyDescent="0.2">
      <c r="A70" s="10"/>
      <c r="B70" s="117">
        <v>32011</v>
      </c>
      <c r="C70" s="22" t="s">
        <v>288</v>
      </c>
      <c r="D70" s="118" t="s">
        <v>252</v>
      </c>
      <c r="E70" s="22" t="s">
        <v>267</v>
      </c>
      <c r="F70" s="118" t="s">
        <v>268</v>
      </c>
      <c r="G70" s="118">
        <v>3</v>
      </c>
      <c r="H70" s="118">
        <v>5</v>
      </c>
      <c r="I70" s="118"/>
      <c r="J70" s="119">
        <v>2878</v>
      </c>
      <c r="K70" s="2" t="s">
        <v>346</v>
      </c>
      <c r="L70" s="4" t="s">
        <v>338</v>
      </c>
    </row>
    <row r="71" spans="1:13" x14ac:dyDescent="0.2">
      <c r="B71" s="5"/>
      <c r="C71" s="23"/>
      <c r="D71" s="2"/>
      <c r="F71" s="23"/>
      <c r="G71" s="23"/>
      <c r="H71" s="23"/>
      <c r="I71" s="127"/>
      <c r="J71" s="113"/>
    </row>
    <row r="72" spans="1:13" x14ac:dyDescent="0.2">
      <c r="E72" s="2"/>
    </row>
    <row r="73" spans="1:13" x14ac:dyDescent="0.2">
      <c r="E73" s="2"/>
    </row>
    <row r="74" spans="1:13" x14ac:dyDescent="0.2">
      <c r="E74" s="2"/>
    </row>
    <row r="75" spans="1:13" x14ac:dyDescent="0.2">
      <c r="E75" s="2"/>
    </row>
    <row r="76" spans="1:13" x14ac:dyDescent="0.2">
      <c r="E76" s="2"/>
    </row>
    <row r="77" spans="1:13" x14ac:dyDescent="0.2">
      <c r="E77" s="2"/>
    </row>
  </sheetData>
  <autoFilter ref="A1:T1"/>
  <phoneticPr fontId="0" type="noConversion"/>
  <conditionalFormatting sqref="D71">
    <cfRule type="cellIs" dxfId="0" priority="1" stopIfTrue="1" operator="equal">
      <formula>$A$1388</formula>
    </cfRule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55"/>
  <sheetViews>
    <sheetView tabSelected="1" workbookViewId="0">
      <pane xSplit="1" ySplit="1" topLeftCell="B25" activePane="bottomRight" state="frozen"/>
      <selection pane="topRight" activeCell="B1" sqref="B1"/>
      <selection pane="bottomLeft" activeCell="A2" sqref="A2"/>
      <selection pane="bottomRight" activeCell="C60" sqref="C60"/>
    </sheetView>
  </sheetViews>
  <sheetFormatPr defaultColWidth="9.42578125" defaultRowHeight="11.25" x14ac:dyDescent="0.2"/>
  <cols>
    <col min="1" max="1" width="2.85546875" style="183" bestFit="1" customWidth="1"/>
    <col min="2" max="2" width="9" style="183" customWidth="1"/>
    <col min="3" max="3" width="22.42578125" style="183" customWidth="1"/>
    <col min="4" max="4" width="5" style="218" bestFit="1" customWidth="1"/>
    <col min="5" max="5" width="21.28515625" style="218" customWidth="1"/>
    <col min="6" max="6" width="3.42578125" style="183" customWidth="1"/>
    <col min="7" max="7" width="1.85546875" style="183" bestFit="1" customWidth="1"/>
    <col min="8" max="8" width="2" style="183" bestFit="1" customWidth="1"/>
    <col min="9" max="9" width="4.85546875" style="183" bestFit="1" customWidth="1"/>
    <col min="10" max="10" width="5.7109375" style="183" bestFit="1" customWidth="1"/>
    <col min="11" max="11" width="35.140625" style="183" customWidth="1"/>
    <col min="12" max="12" width="65.5703125" style="183" customWidth="1"/>
    <col min="13" max="256" width="9.42578125" style="183"/>
    <col min="257" max="257" width="2.42578125" style="183" bestFit="1" customWidth="1"/>
    <col min="258" max="258" width="9" style="183" customWidth="1"/>
    <col min="259" max="259" width="6.5703125" style="183" bestFit="1" customWidth="1"/>
    <col min="260" max="260" width="5" style="183" bestFit="1" customWidth="1"/>
    <col min="261" max="261" width="13.28515625" style="183" bestFit="1" customWidth="1"/>
    <col min="262" max="262" width="3.42578125" style="183" customWidth="1"/>
    <col min="263" max="263" width="1.7109375" style="183" bestFit="1" customWidth="1"/>
    <col min="264" max="264" width="1.85546875" style="183" bestFit="1" customWidth="1"/>
    <col min="265" max="265" width="4.5703125" style="183" bestFit="1" customWidth="1"/>
    <col min="266" max="266" width="4.85546875" style="183" bestFit="1" customWidth="1"/>
    <col min="267" max="267" width="26.5703125" style="183" customWidth="1"/>
    <col min="268" max="268" width="65.5703125" style="183" customWidth="1"/>
    <col min="269" max="512" width="9.42578125" style="183"/>
    <col min="513" max="513" width="2.42578125" style="183" bestFit="1" customWidth="1"/>
    <col min="514" max="514" width="9" style="183" customWidth="1"/>
    <col min="515" max="515" width="6.5703125" style="183" bestFit="1" customWidth="1"/>
    <col min="516" max="516" width="5" style="183" bestFit="1" customWidth="1"/>
    <col min="517" max="517" width="13.28515625" style="183" bestFit="1" customWidth="1"/>
    <col min="518" max="518" width="3.42578125" style="183" customWidth="1"/>
    <col min="519" max="519" width="1.7109375" style="183" bestFit="1" customWidth="1"/>
    <col min="520" max="520" width="1.85546875" style="183" bestFit="1" customWidth="1"/>
    <col min="521" max="521" width="4.5703125" style="183" bestFit="1" customWidth="1"/>
    <col min="522" max="522" width="4.85546875" style="183" bestFit="1" customWidth="1"/>
    <col min="523" max="523" width="26.5703125" style="183" customWidth="1"/>
    <col min="524" max="524" width="65.5703125" style="183" customWidth="1"/>
    <col min="525" max="768" width="9.42578125" style="183"/>
    <col min="769" max="769" width="2.42578125" style="183" bestFit="1" customWidth="1"/>
    <col min="770" max="770" width="9" style="183" customWidth="1"/>
    <col min="771" max="771" width="6.5703125" style="183" bestFit="1" customWidth="1"/>
    <col min="772" max="772" width="5" style="183" bestFit="1" customWidth="1"/>
    <col min="773" max="773" width="13.28515625" style="183" bestFit="1" customWidth="1"/>
    <col min="774" max="774" width="3.42578125" style="183" customWidth="1"/>
    <col min="775" max="775" width="1.7109375" style="183" bestFit="1" customWidth="1"/>
    <col min="776" max="776" width="1.85546875" style="183" bestFit="1" customWidth="1"/>
    <col min="777" max="777" width="4.5703125" style="183" bestFit="1" customWidth="1"/>
    <col min="778" max="778" width="4.85546875" style="183" bestFit="1" customWidth="1"/>
    <col min="779" max="779" width="26.5703125" style="183" customWidth="1"/>
    <col min="780" max="780" width="65.5703125" style="183" customWidth="1"/>
    <col min="781" max="1024" width="9.42578125" style="183"/>
    <col min="1025" max="1025" width="2.42578125" style="183" bestFit="1" customWidth="1"/>
    <col min="1026" max="1026" width="9" style="183" customWidth="1"/>
    <col min="1027" max="1027" width="6.5703125" style="183" bestFit="1" customWidth="1"/>
    <col min="1028" max="1028" width="5" style="183" bestFit="1" customWidth="1"/>
    <col min="1029" max="1029" width="13.28515625" style="183" bestFit="1" customWidth="1"/>
    <col min="1030" max="1030" width="3.42578125" style="183" customWidth="1"/>
    <col min="1031" max="1031" width="1.7109375" style="183" bestFit="1" customWidth="1"/>
    <col min="1032" max="1032" width="1.85546875" style="183" bestFit="1" customWidth="1"/>
    <col min="1033" max="1033" width="4.5703125" style="183" bestFit="1" customWidth="1"/>
    <col min="1034" max="1034" width="4.85546875" style="183" bestFit="1" customWidth="1"/>
    <col min="1035" max="1035" width="26.5703125" style="183" customWidth="1"/>
    <col min="1036" max="1036" width="65.5703125" style="183" customWidth="1"/>
    <col min="1037" max="1280" width="9.42578125" style="183"/>
    <col min="1281" max="1281" width="2.42578125" style="183" bestFit="1" customWidth="1"/>
    <col min="1282" max="1282" width="9" style="183" customWidth="1"/>
    <col min="1283" max="1283" width="6.5703125" style="183" bestFit="1" customWidth="1"/>
    <col min="1284" max="1284" width="5" style="183" bestFit="1" customWidth="1"/>
    <col min="1285" max="1285" width="13.28515625" style="183" bestFit="1" customWidth="1"/>
    <col min="1286" max="1286" width="3.42578125" style="183" customWidth="1"/>
    <col min="1287" max="1287" width="1.7109375" style="183" bestFit="1" customWidth="1"/>
    <col min="1288" max="1288" width="1.85546875" style="183" bestFit="1" customWidth="1"/>
    <col min="1289" max="1289" width="4.5703125" style="183" bestFit="1" customWidth="1"/>
    <col min="1290" max="1290" width="4.85546875" style="183" bestFit="1" customWidth="1"/>
    <col min="1291" max="1291" width="26.5703125" style="183" customWidth="1"/>
    <col min="1292" max="1292" width="65.5703125" style="183" customWidth="1"/>
    <col min="1293" max="1536" width="9.42578125" style="183"/>
    <col min="1537" max="1537" width="2.42578125" style="183" bestFit="1" customWidth="1"/>
    <col min="1538" max="1538" width="9" style="183" customWidth="1"/>
    <col min="1539" max="1539" width="6.5703125" style="183" bestFit="1" customWidth="1"/>
    <col min="1540" max="1540" width="5" style="183" bestFit="1" customWidth="1"/>
    <col min="1541" max="1541" width="13.28515625" style="183" bestFit="1" customWidth="1"/>
    <col min="1542" max="1542" width="3.42578125" style="183" customWidth="1"/>
    <col min="1543" max="1543" width="1.7109375" style="183" bestFit="1" customWidth="1"/>
    <col min="1544" max="1544" width="1.85546875" style="183" bestFit="1" customWidth="1"/>
    <col min="1545" max="1545" width="4.5703125" style="183" bestFit="1" customWidth="1"/>
    <col min="1546" max="1546" width="4.85546875" style="183" bestFit="1" customWidth="1"/>
    <col min="1547" max="1547" width="26.5703125" style="183" customWidth="1"/>
    <col min="1548" max="1548" width="65.5703125" style="183" customWidth="1"/>
    <col min="1549" max="1792" width="9.42578125" style="183"/>
    <col min="1793" max="1793" width="2.42578125" style="183" bestFit="1" customWidth="1"/>
    <col min="1794" max="1794" width="9" style="183" customWidth="1"/>
    <col min="1795" max="1795" width="6.5703125" style="183" bestFit="1" customWidth="1"/>
    <col min="1796" max="1796" width="5" style="183" bestFit="1" customWidth="1"/>
    <col min="1797" max="1797" width="13.28515625" style="183" bestFit="1" customWidth="1"/>
    <col min="1798" max="1798" width="3.42578125" style="183" customWidth="1"/>
    <col min="1799" max="1799" width="1.7109375" style="183" bestFit="1" customWidth="1"/>
    <col min="1800" max="1800" width="1.85546875" style="183" bestFit="1" customWidth="1"/>
    <col min="1801" max="1801" width="4.5703125" style="183" bestFit="1" customWidth="1"/>
    <col min="1802" max="1802" width="4.85546875" style="183" bestFit="1" customWidth="1"/>
    <col min="1803" max="1803" width="26.5703125" style="183" customWidth="1"/>
    <col min="1804" max="1804" width="65.5703125" style="183" customWidth="1"/>
    <col min="1805" max="2048" width="9.42578125" style="183"/>
    <col min="2049" max="2049" width="2.42578125" style="183" bestFit="1" customWidth="1"/>
    <col min="2050" max="2050" width="9" style="183" customWidth="1"/>
    <col min="2051" max="2051" width="6.5703125" style="183" bestFit="1" customWidth="1"/>
    <col min="2052" max="2052" width="5" style="183" bestFit="1" customWidth="1"/>
    <col min="2053" max="2053" width="13.28515625" style="183" bestFit="1" customWidth="1"/>
    <col min="2054" max="2054" width="3.42578125" style="183" customWidth="1"/>
    <col min="2055" max="2055" width="1.7109375" style="183" bestFit="1" customWidth="1"/>
    <col min="2056" max="2056" width="1.85546875" style="183" bestFit="1" customWidth="1"/>
    <col min="2057" max="2057" width="4.5703125" style="183" bestFit="1" customWidth="1"/>
    <col min="2058" max="2058" width="4.85546875" style="183" bestFit="1" customWidth="1"/>
    <col min="2059" max="2059" width="26.5703125" style="183" customWidth="1"/>
    <col min="2060" max="2060" width="65.5703125" style="183" customWidth="1"/>
    <col min="2061" max="2304" width="9.42578125" style="183"/>
    <col min="2305" max="2305" width="2.42578125" style="183" bestFit="1" customWidth="1"/>
    <col min="2306" max="2306" width="9" style="183" customWidth="1"/>
    <col min="2307" max="2307" width="6.5703125" style="183" bestFit="1" customWidth="1"/>
    <col min="2308" max="2308" width="5" style="183" bestFit="1" customWidth="1"/>
    <col min="2309" max="2309" width="13.28515625" style="183" bestFit="1" customWidth="1"/>
    <col min="2310" max="2310" width="3.42578125" style="183" customWidth="1"/>
    <col min="2311" max="2311" width="1.7109375" style="183" bestFit="1" customWidth="1"/>
    <col min="2312" max="2312" width="1.85546875" style="183" bestFit="1" customWidth="1"/>
    <col min="2313" max="2313" width="4.5703125" style="183" bestFit="1" customWidth="1"/>
    <col min="2314" max="2314" width="4.85546875" style="183" bestFit="1" customWidth="1"/>
    <col min="2315" max="2315" width="26.5703125" style="183" customWidth="1"/>
    <col min="2316" max="2316" width="65.5703125" style="183" customWidth="1"/>
    <col min="2317" max="2560" width="9.42578125" style="183"/>
    <col min="2561" max="2561" width="2.42578125" style="183" bestFit="1" customWidth="1"/>
    <col min="2562" max="2562" width="9" style="183" customWidth="1"/>
    <col min="2563" max="2563" width="6.5703125" style="183" bestFit="1" customWidth="1"/>
    <col min="2564" max="2564" width="5" style="183" bestFit="1" customWidth="1"/>
    <col min="2565" max="2565" width="13.28515625" style="183" bestFit="1" customWidth="1"/>
    <col min="2566" max="2566" width="3.42578125" style="183" customWidth="1"/>
    <col min="2567" max="2567" width="1.7109375" style="183" bestFit="1" customWidth="1"/>
    <col min="2568" max="2568" width="1.85546875" style="183" bestFit="1" customWidth="1"/>
    <col min="2569" max="2569" width="4.5703125" style="183" bestFit="1" customWidth="1"/>
    <col min="2570" max="2570" width="4.85546875" style="183" bestFit="1" customWidth="1"/>
    <col min="2571" max="2571" width="26.5703125" style="183" customWidth="1"/>
    <col min="2572" max="2572" width="65.5703125" style="183" customWidth="1"/>
    <col min="2573" max="2816" width="9.42578125" style="183"/>
    <col min="2817" max="2817" width="2.42578125" style="183" bestFit="1" customWidth="1"/>
    <col min="2818" max="2818" width="9" style="183" customWidth="1"/>
    <col min="2819" max="2819" width="6.5703125" style="183" bestFit="1" customWidth="1"/>
    <col min="2820" max="2820" width="5" style="183" bestFit="1" customWidth="1"/>
    <col min="2821" max="2821" width="13.28515625" style="183" bestFit="1" customWidth="1"/>
    <col min="2822" max="2822" width="3.42578125" style="183" customWidth="1"/>
    <col min="2823" max="2823" width="1.7109375" style="183" bestFit="1" customWidth="1"/>
    <col min="2824" max="2824" width="1.85546875" style="183" bestFit="1" customWidth="1"/>
    <col min="2825" max="2825" width="4.5703125" style="183" bestFit="1" customWidth="1"/>
    <col min="2826" max="2826" width="4.85546875" style="183" bestFit="1" customWidth="1"/>
    <col min="2827" max="2827" width="26.5703125" style="183" customWidth="1"/>
    <col min="2828" max="2828" width="65.5703125" style="183" customWidth="1"/>
    <col min="2829" max="3072" width="9.42578125" style="183"/>
    <col min="3073" max="3073" width="2.42578125" style="183" bestFit="1" customWidth="1"/>
    <col min="3074" max="3074" width="9" style="183" customWidth="1"/>
    <col min="3075" max="3075" width="6.5703125" style="183" bestFit="1" customWidth="1"/>
    <col min="3076" max="3076" width="5" style="183" bestFit="1" customWidth="1"/>
    <col min="3077" max="3077" width="13.28515625" style="183" bestFit="1" customWidth="1"/>
    <col min="3078" max="3078" width="3.42578125" style="183" customWidth="1"/>
    <col min="3079" max="3079" width="1.7109375" style="183" bestFit="1" customWidth="1"/>
    <col min="3080" max="3080" width="1.85546875" style="183" bestFit="1" customWidth="1"/>
    <col min="3081" max="3081" width="4.5703125" style="183" bestFit="1" customWidth="1"/>
    <col min="3082" max="3082" width="4.85546875" style="183" bestFit="1" customWidth="1"/>
    <col min="3083" max="3083" width="26.5703125" style="183" customWidth="1"/>
    <col min="3084" max="3084" width="65.5703125" style="183" customWidth="1"/>
    <col min="3085" max="3328" width="9.42578125" style="183"/>
    <col min="3329" max="3329" width="2.42578125" style="183" bestFit="1" customWidth="1"/>
    <col min="3330" max="3330" width="9" style="183" customWidth="1"/>
    <col min="3331" max="3331" width="6.5703125" style="183" bestFit="1" customWidth="1"/>
    <col min="3332" max="3332" width="5" style="183" bestFit="1" customWidth="1"/>
    <col min="3333" max="3333" width="13.28515625" style="183" bestFit="1" customWidth="1"/>
    <col min="3334" max="3334" width="3.42578125" style="183" customWidth="1"/>
    <col min="3335" max="3335" width="1.7109375" style="183" bestFit="1" customWidth="1"/>
    <col min="3336" max="3336" width="1.85546875" style="183" bestFit="1" customWidth="1"/>
    <col min="3337" max="3337" width="4.5703125" style="183" bestFit="1" customWidth="1"/>
    <col min="3338" max="3338" width="4.85546875" style="183" bestFit="1" customWidth="1"/>
    <col min="3339" max="3339" width="26.5703125" style="183" customWidth="1"/>
    <col min="3340" max="3340" width="65.5703125" style="183" customWidth="1"/>
    <col min="3341" max="3584" width="9.42578125" style="183"/>
    <col min="3585" max="3585" width="2.42578125" style="183" bestFit="1" customWidth="1"/>
    <col min="3586" max="3586" width="9" style="183" customWidth="1"/>
    <col min="3587" max="3587" width="6.5703125" style="183" bestFit="1" customWidth="1"/>
    <col min="3588" max="3588" width="5" style="183" bestFit="1" customWidth="1"/>
    <col min="3589" max="3589" width="13.28515625" style="183" bestFit="1" customWidth="1"/>
    <col min="3590" max="3590" width="3.42578125" style="183" customWidth="1"/>
    <col min="3591" max="3591" width="1.7109375" style="183" bestFit="1" customWidth="1"/>
    <col min="3592" max="3592" width="1.85546875" style="183" bestFit="1" customWidth="1"/>
    <col min="3593" max="3593" width="4.5703125" style="183" bestFit="1" customWidth="1"/>
    <col min="3594" max="3594" width="4.85546875" style="183" bestFit="1" customWidth="1"/>
    <col min="3595" max="3595" width="26.5703125" style="183" customWidth="1"/>
    <col min="3596" max="3596" width="65.5703125" style="183" customWidth="1"/>
    <col min="3597" max="3840" width="9.42578125" style="183"/>
    <col min="3841" max="3841" width="2.42578125" style="183" bestFit="1" customWidth="1"/>
    <col min="3842" max="3842" width="9" style="183" customWidth="1"/>
    <col min="3843" max="3843" width="6.5703125" style="183" bestFit="1" customWidth="1"/>
    <col min="3844" max="3844" width="5" style="183" bestFit="1" customWidth="1"/>
    <col min="3845" max="3845" width="13.28515625" style="183" bestFit="1" customWidth="1"/>
    <col min="3846" max="3846" width="3.42578125" style="183" customWidth="1"/>
    <col min="3847" max="3847" width="1.7109375" style="183" bestFit="1" customWidth="1"/>
    <col min="3848" max="3848" width="1.85546875" style="183" bestFit="1" customWidth="1"/>
    <col min="3849" max="3849" width="4.5703125" style="183" bestFit="1" customWidth="1"/>
    <col min="3850" max="3850" width="4.85546875" style="183" bestFit="1" customWidth="1"/>
    <col min="3851" max="3851" width="26.5703125" style="183" customWidth="1"/>
    <col min="3852" max="3852" width="65.5703125" style="183" customWidth="1"/>
    <col min="3853" max="4096" width="9.42578125" style="183"/>
    <col min="4097" max="4097" width="2.42578125" style="183" bestFit="1" customWidth="1"/>
    <col min="4098" max="4098" width="9" style="183" customWidth="1"/>
    <col min="4099" max="4099" width="6.5703125" style="183" bestFit="1" customWidth="1"/>
    <col min="4100" max="4100" width="5" style="183" bestFit="1" customWidth="1"/>
    <col min="4101" max="4101" width="13.28515625" style="183" bestFit="1" customWidth="1"/>
    <col min="4102" max="4102" width="3.42578125" style="183" customWidth="1"/>
    <col min="4103" max="4103" width="1.7109375" style="183" bestFit="1" customWidth="1"/>
    <col min="4104" max="4104" width="1.85546875" style="183" bestFit="1" customWidth="1"/>
    <col min="4105" max="4105" width="4.5703125" style="183" bestFit="1" customWidth="1"/>
    <col min="4106" max="4106" width="4.85546875" style="183" bestFit="1" customWidth="1"/>
    <col min="4107" max="4107" width="26.5703125" style="183" customWidth="1"/>
    <col min="4108" max="4108" width="65.5703125" style="183" customWidth="1"/>
    <col min="4109" max="4352" width="9.42578125" style="183"/>
    <col min="4353" max="4353" width="2.42578125" style="183" bestFit="1" customWidth="1"/>
    <col min="4354" max="4354" width="9" style="183" customWidth="1"/>
    <col min="4355" max="4355" width="6.5703125" style="183" bestFit="1" customWidth="1"/>
    <col min="4356" max="4356" width="5" style="183" bestFit="1" customWidth="1"/>
    <col min="4357" max="4357" width="13.28515625" style="183" bestFit="1" customWidth="1"/>
    <col min="4358" max="4358" width="3.42578125" style="183" customWidth="1"/>
    <col min="4359" max="4359" width="1.7109375" style="183" bestFit="1" customWidth="1"/>
    <col min="4360" max="4360" width="1.85546875" style="183" bestFit="1" customWidth="1"/>
    <col min="4361" max="4361" width="4.5703125" style="183" bestFit="1" customWidth="1"/>
    <col min="4362" max="4362" width="4.85546875" style="183" bestFit="1" customWidth="1"/>
    <col min="4363" max="4363" width="26.5703125" style="183" customWidth="1"/>
    <col min="4364" max="4364" width="65.5703125" style="183" customWidth="1"/>
    <col min="4365" max="4608" width="9.42578125" style="183"/>
    <col min="4609" max="4609" width="2.42578125" style="183" bestFit="1" customWidth="1"/>
    <col min="4610" max="4610" width="9" style="183" customWidth="1"/>
    <col min="4611" max="4611" width="6.5703125" style="183" bestFit="1" customWidth="1"/>
    <col min="4612" max="4612" width="5" style="183" bestFit="1" customWidth="1"/>
    <col min="4613" max="4613" width="13.28515625" style="183" bestFit="1" customWidth="1"/>
    <col min="4614" max="4614" width="3.42578125" style="183" customWidth="1"/>
    <col min="4615" max="4615" width="1.7109375" style="183" bestFit="1" customWidth="1"/>
    <col min="4616" max="4616" width="1.85546875" style="183" bestFit="1" customWidth="1"/>
    <col min="4617" max="4617" width="4.5703125" style="183" bestFit="1" customWidth="1"/>
    <col min="4618" max="4618" width="4.85546875" style="183" bestFit="1" customWidth="1"/>
    <col min="4619" max="4619" width="26.5703125" style="183" customWidth="1"/>
    <col min="4620" max="4620" width="65.5703125" style="183" customWidth="1"/>
    <col min="4621" max="4864" width="9.42578125" style="183"/>
    <col min="4865" max="4865" width="2.42578125" style="183" bestFit="1" customWidth="1"/>
    <col min="4866" max="4866" width="9" style="183" customWidth="1"/>
    <col min="4867" max="4867" width="6.5703125" style="183" bestFit="1" customWidth="1"/>
    <col min="4868" max="4868" width="5" style="183" bestFit="1" customWidth="1"/>
    <col min="4869" max="4869" width="13.28515625" style="183" bestFit="1" customWidth="1"/>
    <col min="4870" max="4870" width="3.42578125" style="183" customWidth="1"/>
    <col min="4871" max="4871" width="1.7109375" style="183" bestFit="1" customWidth="1"/>
    <col min="4872" max="4872" width="1.85546875" style="183" bestFit="1" customWidth="1"/>
    <col min="4873" max="4873" width="4.5703125" style="183" bestFit="1" customWidth="1"/>
    <col min="4874" max="4874" width="4.85546875" style="183" bestFit="1" customWidth="1"/>
    <col min="4875" max="4875" width="26.5703125" style="183" customWidth="1"/>
    <col min="4876" max="4876" width="65.5703125" style="183" customWidth="1"/>
    <col min="4877" max="5120" width="9.42578125" style="183"/>
    <col min="5121" max="5121" width="2.42578125" style="183" bestFit="1" customWidth="1"/>
    <col min="5122" max="5122" width="9" style="183" customWidth="1"/>
    <col min="5123" max="5123" width="6.5703125" style="183" bestFit="1" customWidth="1"/>
    <col min="5124" max="5124" width="5" style="183" bestFit="1" customWidth="1"/>
    <col min="5125" max="5125" width="13.28515625" style="183" bestFit="1" customWidth="1"/>
    <col min="5126" max="5126" width="3.42578125" style="183" customWidth="1"/>
    <col min="5127" max="5127" width="1.7109375" style="183" bestFit="1" customWidth="1"/>
    <col min="5128" max="5128" width="1.85546875" style="183" bestFit="1" customWidth="1"/>
    <col min="5129" max="5129" width="4.5703125" style="183" bestFit="1" customWidth="1"/>
    <col min="5130" max="5130" width="4.85546875" style="183" bestFit="1" customWidth="1"/>
    <col min="5131" max="5131" width="26.5703125" style="183" customWidth="1"/>
    <col min="5132" max="5132" width="65.5703125" style="183" customWidth="1"/>
    <col min="5133" max="5376" width="9.42578125" style="183"/>
    <col min="5377" max="5377" width="2.42578125" style="183" bestFit="1" customWidth="1"/>
    <col min="5378" max="5378" width="9" style="183" customWidth="1"/>
    <col min="5379" max="5379" width="6.5703125" style="183" bestFit="1" customWidth="1"/>
    <col min="5380" max="5380" width="5" style="183" bestFit="1" customWidth="1"/>
    <col min="5381" max="5381" width="13.28515625" style="183" bestFit="1" customWidth="1"/>
    <col min="5382" max="5382" width="3.42578125" style="183" customWidth="1"/>
    <col min="5383" max="5383" width="1.7109375" style="183" bestFit="1" customWidth="1"/>
    <col min="5384" max="5384" width="1.85546875" style="183" bestFit="1" customWidth="1"/>
    <col min="5385" max="5385" width="4.5703125" style="183" bestFit="1" customWidth="1"/>
    <col min="5386" max="5386" width="4.85546875" style="183" bestFit="1" customWidth="1"/>
    <col min="5387" max="5387" width="26.5703125" style="183" customWidth="1"/>
    <col min="5388" max="5388" width="65.5703125" style="183" customWidth="1"/>
    <col min="5389" max="5632" width="9.42578125" style="183"/>
    <col min="5633" max="5633" width="2.42578125" style="183" bestFit="1" customWidth="1"/>
    <col min="5634" max="5634" width="9" style="183" customWidth="1"/>
    <col min="5635" max="5635" width="6.5703125" style="183" bestFit="1" customWidth="1"/>
    <col min="5636" max="5636" width="5" style="183" bestFit="1" customWidth="1"/>
    <col min="5637" max="5637" width="13.28515625" style="183" bestFit="1" customWidth="1"/>
    <col min="5638" max="5638" width="3.42578125" style="183" customWidth="1"/>
    <col min="5639" max="5639" width="1.7109375" style="183" bestFit="1" customWidth="1"/>
    <col min="5640" max="5640" width="1.85546875" style="183" bestFit="1" customWidth="1"/>
    <col min="5641" max="5641" width="4.5703125" style="183" bestFit="1" customWidth="1"/>
    <col min="5642" max="5642" width="4.85546875" style="183" bestFit="1" customWidth="1"/>
    <col min="5643" max="5643" width="26.5703125" style="183" customWidth="1"/>
    <col min="5644" max="5644" width="65.5703125" style="183" customWidth="1"/>
    <col min="5645" max="5888" width="9.42578125" style="183"/>
    <col min="5889" max="5889" width="2.42578125" style="183" bestFit="1" customWidth="1"/>
    <col min="5890" max="5890" width="9" style="183" customWidth="1"/>
    <col min="5891" max="5891" width="6.5703125" style="183" bestFit="1" customWidth="1"/>
    <col min="5892" max="5892" width="5" style="183" bestFit="1" customWidth="1"/>
    <col min="5893" max="5893" width="13.28515625" style="183" bestFit="1" customWidth="1"/>
    <col min="5894" max="5894" width="3.42578125" style="183" customWidth="1"/>
    <col min="5895" max="5895" width="1.7109375" style="183" bestFit="1" customWidth="1"/>
    <col min="5896" max="5896" width="1.85546875" style="183" bestFit="1" customWidth="1"/>
    <col min="5897" max="5897" width="4.5703125" style="183" bestFit="1" customWidth="1"/>
    <col min="5898" max="5898" width="4.85546875" style="183" bestFit="1" customWidth="1"/>
    <col min="5899" max="5899" width="26.5703125" style="183" customWidth="1"/>
    <col min="5900" max="5900" width="65.5703125" style="183" customWidth="1"/>
    <col min="5901" max="6144" width="9.42578125" style="183"/>
    <col min="6145" max="6145" width="2.42578125" style="183" bestFit="1" customWidth="1"/>
    <col min="6146" max="6146" width="9" style="183" customWidth="1"/>
    <col min="6147" max="6147" width="6.5703125" style="183" bestFit="1" customWidth="1"/>
    <col min="6148" max="6148" width="5" style="183" bestFit="1" customWidth="1"/>
    <col min="6149" max="6149" width="13.28515625" style="183" bestFit="1" customWidth="1"/>
    <col min="6150" max="6150" width="3.42578125" style="183" customWidth="1"/>
    <col min="6151" max="6151" width="1.7109375" style="183" bestFit="1" customWidth="1"/>
    <col min="6152" max="6152" width="1.85546875" style="183" bestFit="1" customWidth="1"/>
    <col min="6153" max="6153" width="4.5703125" style="183" bestFit="1" customWidth="1"/>
    <col min="6154" max="6154" width="4.85546875" style="183" bestFit="1" customWidth="1"/>
    <col min="6155" max="6155" width="26.5703125" style="183" customWidth="1"/>
    <col min="6156" max="6156" width="65.5703125" style="183" customWidth="1"/>
    <col min="6157" max="6400" width="9.42578125" style="183"/>
    <col min="6401" max="6401" width="2.42578125" style="183" bestFit="1" customWidth="1"/>
    <col min="6402" max="6402" width="9" style="183" customWidth="1"/>
    <col min="6403" max="6403" width="6.5703125" style="183" bestFit="1" customWidth="1"/>
    <col min="6404" max="6404" width="5" style="183" bestFit="1" customWidth="1"/>
    <col min="6405" max="6405" width="13.28515625" style="183" bestFit="1" customWidth="1"/>
    <col min="6406" max="6406" width="3.42578125" style="183" customWidth="1"/>
    <col min="6407" max="6407" width="1.7109375" style="183" bestFit="1" customWidth="1"/>
    <col min="6408" max="6408" width="1.85546875" style="183" bestFit="1" customWidth="1"/>
    <col min="6409" max="6409" width="4.5703125" style="183" bestFit="1" customWidth="1"/>
    <col min="6410" max="6410" width="4.85546875" style="183" bestFit="1" customWidth="1"/>
    <col min="6411" max="6411" width="26.5703125" style="183" customWidth="1"/>
    <col min="6412" max="6412" width="65.5703125" style="183" customWidth="1"/>
    <col min="6413" max="6656" width="9.42578125" style="183"/>
    <col min="6657" max="6657" width="2.42578125" style="183" bestFit="1" customWidth="1"/>
    <col min="6658" max="6658" width="9" style="183" customWidth="1"/>
    <col min="6659" max="6659" width="6.5703125" style="183" bestFit="1" customWidth="1"/>
    <col min="6660" max="6660" width="5" style="183" bestFit="1" customWidth="1"/>
    <col min="6661" max="6661" width="13.28515625" style="183" bestFit="1" customWidth="1"/>
    <col min="6662" max="6662" width="3.42578125" style="183" customWidth="1"/>
    <col min="6663" max="6663" width="1.7109375" style="183" bestFit="1" customWidth="1"/>
    <col min="6664" max="6664" width="1.85546875" style="183" bestFit="1" customWidth="1"/>
    <col min="6665" max="6665" width="4.5703125" style="183" bestFit="1" customWidth="1"/>
    <col min="6666" max="6666" width="4.85546875" style="183" bestFit="1" customWidth="1"/>
    <col min="6667" max="6667" width="26.5703125" style="183" customWidth="1"/>
    <col min="6668" max="6668" width="65.5703125" style="183" customWidth="1"/>
    <col min="6669" max="6912" width="9.42578125" style="183"/>
    <col min="6913" max="6913" width="2.42578125" style="183" bestFit="1" customWidth="1"/>
    <col min="6914" max="6914" width="9" style="183" customWidth="1"/>
    <col min="6915" max="6915" width="6.5703125" style="183" bestFit="1" customWidth="1"/>
    <col min="6916" max="6916" width="5" style="183" bestFit="1" customWidth="1"/>
    <col min="6917" max="6917" width="13.28515625" style="183" bestFit="1" customWidth="1"/>
    <col min="6918" max="6918" width="3.42578125" style="183" customWidth="1"/>
    <col min="6919" max="6919" width="1.7109375" style="183" bestFit="1" customWidth="1"/>
    <col min="6920" max="6920" width="1.85546875" style="183" bestFit="1" customWidth="1"/>
    <col min="6921" max="6921" width="4.5703125" style="183" bestFit="1" customWidth="1"/>
    <col min="6922" max="6922" width="4.85546875" style="183" bestFit="1" customWidth="1"/>
    <col min="6923" max="6923" width="26.5703125" style="183" customWidth="1"/>
    <col min="6924" max="6924" width="65.5703125" style="183" customWidth="1"/>
    <col min="6925" max="7168" width="9.42578125" style="183"/>
    <col min="7169" max="7169" width="2.42578125" style="183" bestFit="1" customWidth="1"/>
    <col min="7170" max="7170" width="9" style="183" customWidth="1"/>
    <col min="7171" max="7171" width="6.5703125" style="183" bestFit="1" customWidth="1"/>
    <col min="7172" max="7172" width="5" style="183" bestFit="1" customWidth="1"/>
    <col min="7173" max="7173" width="13.28515625" style="183" bestFit="1" customWidth="1"/>
    <col min="7174" max="7174" width="3.42578125" style="183" customWidth="1"/>
    <col min="7175" max="7175" width="1.7109375" style="183" bestFit="1" customWidth="1"/>
    <col min="7176" max="7176" width="1.85546875" style="183" bestFit="1" customWidth="1"/>
    <col min="7177" max="7177" width="4.5703125" style="183" bestFit="1" customWidth="1"/>
    <col min="7178" max="7178" width="4.85546875" style="183" bestFit="1" customWidth="1"/>
    <col min="7179" max="7179" width="26.5703125" style="183" customWidth="1"/>
    <col min="7180" max="7180" width="65.5703125" style="183" customWidth="1"/>
    <col min="7181" max="7424" width="9.42578125" style="183"/>
    <col min="7425" max="7425" width="2.42578125" style="183" bestFit="1" customWidth="1"/>
    <col min="7426" max="7426" width="9" style="183" customWidth="1"/>
    <col min="7427" max="7427" width="6.5703125" style="183" bestFit="1" customWidth="1"/>
    <col min="7428" max="7428" width="5" style="183" bestFit="1" customWidth="1"/>
    <col min="7429" max="7429" width="13.28515625" style="183" bestFit="1" customWidth="1"/>
    <col min="7430" max="7430" width="3.42578125" style="183" customWidth="1"/>
    <col min="7431" max="7431" width="1.7109375" style="183" bestFit="1" customWidth="1"/>
    <col min="7432" max="7432" width="1.85546875" style="183" bestFit="1" customWidth="1"/>
    <col min="7433" max="7433" width="4.5703125" style="183" bestFit="1" customWidth="1"/>
    <col min="7434" max="7434" width="4.85546875" style="183" bestFit="1" customWidth="1"/>
    <col min="7435" max="7435" width="26.5703125" style="183" customWidth="1"/>
    <col min="7436" max="7436" width="65.5703125" style="183" customWidth="1"/>
    <col min="7437" max="7680" width="9.42578125" style="183"/>
    <col min="7681" max="7681" width="2.42578125" style="183" bestFit="1" customWidth="1"/>
    <col min="7682" max="7682" width="9" style="183" customWidth="1"/>
    <col min="7683" max="7683" width="6.5703125" style="183" bestFit="1" customWidth="1"/>
    <col min="7684" max="7684" width="5" style="183" bestFit="1" customWidth="1"/>
    <col min="7685" max="7685" width="13.28515625" style="183" bestFit="1" customWidth="1"/>
    <col min="7686" max="7686" width="3.42578125" style="183" customWidth="1"/>
    <col min="7687" max="7687" width="1.7109375" style="183" bestFit="1" customWidth="1"/>
    <col min="7688" max="7688" width="1.85546875" style="183" bestFit="1" customWidth="1"/>
    <col min="7689" max="7689" width="4.5703125" style="183" bestFit="1" customWidth="1"/>
    <col min="7690" max="7690" width="4.85546875" style="183" bestFit="1" customWidth="1"/>
    <col min="7691" max="7691" width="26.5703125" style="183" customWidth="1"/>
    <col min="7692" max="7692" width="65.5703125" style="183" customWidth="1"/>
    <col min="7693" max="7936" width="9.42578125" style="183"/>
    <col min="7937" max="7937" width="2.42578125" style="183" bestFit="1" customWidth="1"/>
    <col min="7938" max="7938" width="9" style="183" customWidth="1"/>
    <col min="7939" max="7939" width="6.5703125" style="183" bestFit="1" customWidth="1"/>
    <col min="7940" max="7940" width="5" style="183" bestFit="1" customWidth="1"/>
    <col min="7941" max="7941" width="13.28515625" style="183" bestFit="1" customWidth="1"/>
    <col min="7942" max="7942" width="3.42578125" style="183" customWidth="1"/>
    <col min="7943" max="7943" width="1.7109375" style="183" bestFit="1" customWidth="1"/>
    <col min="7944" max="7944" width="1.85546875" style="183" bestFit="1" customWidth="1"/>
    <col min="7945" max="7945" width="4.5703125" style="183" bestFit="1" customWidth="1"/>
    <col min="7946" max="7946" width="4.85546875" style="183" bestFit="1" customWidth="1"/>
    <col min="7947" max="7947" width="26.5703125" style="183" customWidth="1"/>
    <col min="7948" max="7948" width="65.5703125" style="183" customWidth="1"/>
    <col min="7949" max="8192" width="9.42578125" style="183"/>
    <col min="8193" max="8193" width="2.42578125" style="183" bestFit="1" customWidth="1"/>
    <col min="8194" max="8194" width="9" style="183" customWidth="1"/>
    <col min="8195" max="8195" width="6.5703125" style="183" bestFit="1" customWidth="1"/>
    <col min="8196" max="8196" width="5" style="183" bestFit="1" customWidth="1"/>
    <col min="8197" max="8197" width="13.28515625" style="183" bestFit="1" customWidth="1"/>
    <col min="8198" max="8198" width="3.42578125" style="183" customWidth="1"/>
    <col min="8199" max="8199" width="1.7109375" style="183" bestFit="1" customWidth="1"/>
    <col min="8200" max="8200" width="1.85546875" style="183" bestFit="1" customWidth="1"/>
    <col min="8201" max="8201" width="4.5703125" style="183" bestFit="1" customWidth="1"/>
    <col min="8202" max="8202" width="4.85546875" style="183" bestFit="1" customWidth="1"/>
    <col min="8203" max="8203" width="26.5703125" style="183" customWidth="1"/>
    <col min="8204" max="8204" width="65.5703125" style="183" customWidth="1"/>
    <col min="8205" max="8448" width="9.42578125" style="183"/>
    <col min="8449" max="8449" width="2.42578125" style="183" bestFit="1" customWidth="1"/>
    <col min="8450" max="8450" width="9" style="183" customWidth="1"/>
    <col min="8451" max="8451" width="6.5703125" style="183" bestFit="1" customWidth="1"/>
    <col min="8452" max="8452" width="5" style="183" bestFit="1" customWidth="1"/>
    <col min="8453" max="8453" width="13.28515625" style="183" bestFit="1" customWidth="1"/>
    <col min="8454" max="8454" width="3.42578125" style="183" customWidth="1"/>
    <col min="8455" max="8455" width="1.7109375" style="183" bestFit="1" customWidth="1"/>
    <col min="8456" max="8456" width="1.85546875" style="183" bestFit="1" customWidth="1"/>
    <col min="8457" max="8457" width="4.5703125" style="183" bestFit="1" customWidth="1"/>
    <col min="8458" max="8458" width="4.85546875" style="183" bestFit="1" customWidth="1"/>
    <col min="8459" max="8459" width="26.5703125" style="183" customWidth="1"/>
    <col min="8460" max="8460" width="65.5703125" style="183" customWidth="1"/>
    <col min="8461" max="8704" width="9.42578125" style="183"/>
    <col min="8705" max="8705" width="2.42578125" style="183" bestFit="1" customWidth="1"/>
    <col min="8706" max="8706" width="9" style="183" customWidth="1"/>
    <col min="8707" max="8707" width="6.5703125" style="183" bestFit="1" customWidth="1"/>
    <col min="8708" max="8708" width="5" style="183" bestFit="1" customWidth="1"/>
    <col min="8709" max="8709" width="13.28515625" style="183" bestFit="1" customWidth="1"/>
    <col min="8710" max="8710" width="3.42578125" style="183" customWidth="1"/>
    <col min="8711" max="8711" width="1.7109375" style="183" bestFit="1" customWidth="1"/>
    <col min="8712" max="8712" width="1.85546875" style="183" bestFit="1" customWidth="1"/>
    <col min="8713" max="8713" width="4.5703125" style="183" bestFit="1" customWidth="1"/>
    <col min="8714" max="8714" width="4.85546875" style="183" bestFit="1" customWidth="1"/>
    <col min="8715" max="8715" width="26.5703125" style="183" customWidth="1"/>
    <col min="8716" max="8716" width="65.5703125" style="183" customWidth="1"/>
    <col min="8717" max="8960" width="9.42578125" style="183"/>
    <col min="8961" max="8961" width="2.42578125" style="183" bestFit="1" customWidth="1"/>
    <col min="8962" max="8962" width="9" style="183" customWidth="1"/>
    <col min="8963" max="8963" width="6.5703125" style="183" bestFit="1" customWidth="1"/>
    <col min="8964" max="8964" width="5" style="183" bestFit="1" customWidth="1"/>
    <col min="8965" max="8965" width="13.28515625" style="183" bestFit="1" customWidth="1"/>
    <col min="8966" max="8966" width="3.42578125" style="183" customWidth="1"/>
    <col min="8967" max="8967" width="1.7109375" style="183" bestFit="1" customWidth="1"/>
    <col min="8968" max="8968" width="1.85546875" style="183" bestFit="1" customWidth="1"/>
    <col min="8969" max="8969" width="4.5703125" style="183" bestFit="1" customWidth="1"/>
    <col min="8970" max="8970" width="4.85546875" style="183" bestFit="1" customWidth="1"/>
    <col min="8971" max="8971" width="26.5703125" style="183" customWidth="1"/>
    <col min="8972" max="8972" width="65.5703125" style="183" customWidth="1"/>
    <col min="8973" max="9216" width="9.42578125" style="183"/>
    <col min="9217" max="9217" width="2.42578125" style="183" bestFit="1" customWidth="1"/>
    <col min="9218" max="9218" width="9" style="183" customWidth="1"/>
    <col min="9219" max="9219" width="6.5703125" style="183" bestFit="1" customWidth="1"/>
    <col min="9220" max="9220" width="5" style="183" bestFit="1" customWidth="1"/>
    <col min="9221" max="9221" width="13.28515625" style="183" bestFit="1" customWidth="1"/>
    <col min="9222" max="9222" width="3.42578125" style="183" customWidth="1"/>
    <col min="9223" max="9223" width="1.7109375" style="183" bestFit="1" customWidth="1"/>
    <col min="9224" max="9224" width="1.85546875" style="183" bestFit="1" customWidth="1"/>
    <col min="9225" max="9225" width="4.5703125" style="183" bestFit="1" customWidth="1"/>
    <col min="9226" max="9226" width="4.85546875" style="183" bestFit="1" customWidth="1"/>
    <col min="9227" max="9227" width="26.5703125" style="183" customWidth="1"/>
    <col min="9228" max="9228" width="65.5703125" style="183" customWidth="1"/>
    <col min="9229" max="9472" width="9.42578125" style="183"/>
    <col min="9473" max="9473" width="2.42578125" style="183" bestFit="1" customWidth="1"/>
    <col min="9474" max="9474" width="9" style="183" customWidth="1"/>
    <col min="9475" max="9475" width="6.5703125" style="183" bestFit="1" customWidth="1"/>
    <col min="9476" max="9476" width="5" style="183" bestFit="1" customWidth="1"/>
    <col min="9477" max="9477" width="13.28515625" style="183" bestFit="1" customWidth="1"/>
    <col min="9478" max="9478" width="3.42578125" style="183" customWidth="1"/>
    <col min="9479" max="9479" width="1.7109375" style="183" bestFit="1" customWidth="1"/>
    <col min="9480" max="9480" width="1.85546875" style="183" bestFit="1" customWidth="1"/>
    <col min="9481" max="9481" width="4.5703125" style="183" bestFit="1" customWidth="1"/>
    <col min="9482" max="9482" width="4.85546875" style="183" bestFit="1" customWidth="1"/>
    <col min="9483" max="9483" width="26.5703125" style="183" customWidth="1"/>
    <col min="9484" max="9484" width="65.5703125" style="183" customWidth="1"/>
    <col min="9485" max="9728" width="9.42578125" style="183"/>
    <col min="9729" max="9729" width="2.42578125" style="183" bestFit="1" customWidth="1"/>
    <col min="9730" max="9730" width="9" style="183" customWidth="1"/>
    <col min="9731" max="9731" width="6.5703125" style="183" bestFit="1" customWidth="1"/>
    <col min="9732" max="9732" width="5" style="183" bestFit="1" customWidth="1"/>
    <col min="9733" max="9733" width="13.28515625" style="183" bestFit="1" customWidth="1"/>
    <col min="9734" max="9734" width="3.42578125" style="183" customWidth="1"/>
    <col min="9735" max="9735" width="1.7109375" style="183" bestFit="1" customWidth="1"/>
    <col min="9736" max="9736" width="1.85546875" style="183" bestFit="1" customWidth="1"/>
    <col min="9737" max="9737" width="4.5703125" style="183" bestFit="1" customWidth="1"/>
    <col min="9738" max="9738" width="4.85546875" style="183" bestFit="1" customWidth="1"/>
    <col min="9739" max="9739" width="26.5703125" style="183" customWidth="1"/>
    <col min="9740" max="9740" width="65.5703125" style="183" customWidth="1"/>
    <col min="9741" max="9984" width="9.42578125" style="183"/>
    <col min="9985" max="9985" width="2.42578125" style="183" bestFit="1" customWidth="1"/>
    <col min="9986" max="9986" width="9" style="183" customWidth="1"/>
    <col min="9987" max="9987" width="6.5703125" style="183" bestFit="1" customWidth="1"/>
    <col min="9988" max="9988" width="5" style="183" bestFit="1" customWidth="1"/>
    <col min="9989" max="9989" width="13.28515625" style="183" bestFit="1" customWidth="1"/>
    <col min="9990" max="9990" width="3.42578125" style="183" customWidth="1"/>
    <col min="9991" max="9991" width="1.7109375" style="183" bestFit="1" customWidth="1"/>
    <col min="9992" max="9992" width="1.85546875" style="183" bestFit="1" customWidth="1"/>
    <col min="9993" max="9993" width="4.5703125" style="183" bestFit="1" customWidth="1"/>
    <col min="9994" max="9994" width="4.85546875" style="183" bestFit="1" customWidth="1"/>
    <col min="9995" max="9995" width="26.5703125" style="183" customWidth="1"/>
    <col min="9996" max="9996" width="65.5703125" style="183" customWidth="1"/>
    <col min="9997" max="10240" width="9.42578125" style="183"/>
    <col min="10241" max="10241" width="2.42578125" style="183" bestFit="1" customWidth="1"/>
    <col min="10242" max="10242" width="9" style="183" customWidth="1"/>
    <col min="10243" max="10243" width="6.5703125" style="183" bestFit="1" customWidth="1"/>
    <col min="10244" max="10244" width="5" style="183" bestFit="1" customWidth="1"/>
    <col min="10245" max="10245" width="13.28515625" style="183" bestFit="1" customWidth="1"/>
    <col min="10246" max="10246" width="3.42578125" style="183" customWidth="1"/>
    <col min="10247" max="10247" width="1.7109375" style="183" bestFit="1" customWidth="1"/>
    <col min="10248" max="10248" width="1.85546875" style="183" bestFit="1" customWidth="1"/>
    <col min="10249" max="10249" width="4.5703125" style="183" bestFit="1" customWidth="1"/>
    <col min="10250" max="10250" width="4.85546875" style="183" bestFit="1" customWidth="1"/>
    <col min="10251" max="10251" width="26.5703125" style="183" customWidth="1"/>
    <col min="10252" max="10252" width="65.5703125" style="183" customWidth="1"/>
    <col min="10253" max="10496" width="9.42578125" style="183"/>
    <col min="10497" max="10497" width="2.42578125" style="183" bestFit="1" customWidth="1"/>
    <col min="10498" max="10498" width="9" style="183" customWidth="1"/>
    <col min="10499" max="10499" width="6.5703125" style="183" bestFit="1" customWidth="1"/>
    <col min="10500" max="10500" width="5" style="183" bestFit="1" customWidth="1"/>
    <col min="10501" max="10501" width="13.28515625" style="183" bestFit="1" customWidth="1"/>
    <col min="10502" max="10502" width="3.42578125" style="183" customWidth="1"/>
    <col min="10503" max="10503" width="1.7109375" style="183" bestFit="1" customWidth="1"/>
    <col min="10504" max="10504" width="1.85546875" style="183" bestFit="1" customWidth="1"/>
    <col min="10505" max="10505" width="4.5703125" style="183" bestFit="1" customWidth="1"/>
    <col min="10506" max="10506" width="4.85546875" style="183" bestFit="1" customWidth="1"/>
    <col min="10507" max="10507" width="26.5703125" style="183" customWidth="1"/>
    <col min="10508" max="10508" width="65.5703125" style="183" customWidth="1"/>
    <col min="10509" max="10752" width="9.42578125" style="183"/>
    <col min="10753" max="10753" width="2.42578125" style="183" bestFit="1" customWidth="1"/>
    <col min="10754" max="10754" width="9" style="183" customWidth="1"/>
    <col min="10755" max="10755" width="6.5703125" style="183" bestFit="1" customWidth="1"/>
    <col min="10756" max="10756" width="5" style="183" bestFit="1" customWidth="1"/>
    <col min="10757" max="10757" width="13.28515625" style="183" bestFit="1" customWidth="1"/>
    <col min="10758" max="10758" width="3.42578125" style="183" customWidth="1"/>
    <col min="10759" max="10759" width="1.7109375" style="183" bestFit="1" customWidth="1"/>
    <col min="10760" max="10760" width="1.85546875" style="183" bestFit="1" customWidth="1"/>
    <col min="10761" max="10761" width="4.5703125" style="183" bestFit="1" customWidth="1"/>
    <col min="10762" max="10762" width="4.85546875" style="183" bestFit="1" customWidth="1"/>
    <col min="10763" max="10763" width="26.5703125" style="183" customWidth="1"/>
    <col min="10764" max="10764" width="65.5703125" style="183" customWidth="1"/>
    <col min="10765" max="11008" width="9.42578125" style="183"/>
    <col min="11009" max="11009" width="2.42578125" style="183" bestFit="1" customWidth="1"/>
    <col min="11010" max="11010" width="9" style="183" customWidth="1"/>
    <col min="11011" max="11011" width="6.5703125" style="183" bestFit="1" customWidth="1"/>
    <col min="11012" max="11012" width="5" style="183" bestFit="1" customWidth="1"/>
    <col min="11013" max="11013" width="13.28515625" style="183" bestFit="1" customWidth="1"/>
    <col min="11014" max="11014" width="3.42578125" style="183" customWidth="1"/>
    <col min="11015" max="11015" width="1.7109375" style="183" bestFit="1" customWidth="1"/>
    <col min="11016" max="11016" width="1.85546875" style="183" bestFit="1" customWidth="1"/>
    <col min="11017" max="11017" width="4.5703125" style="183" bestFit="1" customWidth="1"/>
    <col min="11018" max="11018" width="4.85546875" style="183" bestFit="1" customWidth="1"/>
    <col min="11019" max="11019" width="26.5703125" style="183" customWidth="1"/>
    <col min="11020" max="11020" width="65.5703125" style="183" customWidth="1"/>
    <col min="11021" max="11264" width="9.42578125" style="183"/>
    <col min="11265" max="11265" width="2.42578125" style="183" bestFit="1" customWidth="1"/>
    <col min="11266" max="11266" width="9" style="183" customWidth="1"/>
    <col min="11267" max="11267" width="6.5703125" style="183" bestFit="1" customWidth="1"/>
    <col min="11268" max="11268" width="5" style="183" bestFit="1" customWidth="1"/>
    <col min="11269" max="11269" width="13.28515625" style="183" bestFit="1" customWidth="1"/>
    <col min="11270" max="11270" width="3.42578125" style="183" customWidth="1"/>
    <col min="11271" max="11271" width="1.7109375" style="183" bestFit="1" customWidth="1"/>
    <col min="11272" max="11272" width="1.85546875" style="183" bestFit="1" customWidth="1"/>
    <col min="11273" max="11273" width="4.5703125" style="183" bestFit="1" customWidth="1"/>
    <col min="11274" max="11274" width="4.85546875" style="183" bestFit="1" customWidth="1"/>
    <col min="11275" max="11275" width="26.5703125" style="183" customWidth="1"/>
    <col min="11276" max="11276" width="65.5703125" style="183" customWidth="1"/>
    <col min="11277" max="11520" width="9.42578125" style="183"/>
    <col min="11521" max="11521" width="2.42578125" style="183" bestFit="1" customWidth="1"/>
    <col min="11522" max="11522" width="9" style="183" customWidth="1"/>
    <col min="11523" max="11523" width="6.5703125" style="183" bestFit="1" customWidth="1"/>
    <col min="11524" max="11524" width="5" style="183" bestFit="1" customWidth="1"/>
    <col min="11525" max="11525" width="13.28515625" style="183" bestFit="1" customWidth="1"/>
    <col min="11526" max="11526" width="3.42578125" style="183" customWidth="1"/>
    <col min="11527" max="11527" width="1.7109375" style="183" bestFit="1" customWidth="1"/>
    <col min="11528" max="11528" width="1.85546875" style="183" bestFit="1" customWidth="1"/>
    <col min="11529" max="11529" width="4.5703125" style="183" bestFit="1" customWidth="1"/>
    <col min="11530" max="11530" width="4.85546875" style="183" bestFit="1" customWidth="1"/>
    <col min="11531" max="11531" width="26.5703125" style="183" customWidth="1"/>
    <col min="11532" max="11532" width="65.5703125" style="183" customWidth="1"/>
    <col min="11533" max="11776" width="9.42578125" style="183"/>
    <col min="11777" max="11777" width="2.42578125" style="183" bestFit="1" customWidth="1"/>
    <col min="11778" max="11778" width="9" style="183" customWidth="1"/>
    <col min="11779" max="11779" width="6.5703125" style="183" bestFit="1" customWidth="1"/>
    <col min="11780" max="11780" width="5" style="183" bestFit="1" customWidth="1"/>
    <col min="11781" max="11781" width="13.28515625" style="183" bestFit="1" customWidth="1"/>
    <col min="11782" max="11782" width="3.42578125" style="183" customWidth="1"/>
    <col min="11783" max="11783" width="1.7109375" style="183" bestFit="1" customWidth="1"/>
    <col min="11784" max="11784" width="1.85546875" style="183" bestFit="1" customWidth="1"/>
    <col min="11785" max="11785" width="4.5703125" style="183" bestFit="1" customWidth="1"/>
    <col min="11786" max="11786" width="4.85546875" style="183" bestFit="1" customWidth="1"/>
    <col min="11787" max="11787" width="26.5703125" style="183" customWidth="1"/>
    <col min="11788" max="11788" width="65.5703125" style="183" customWidth="1"/>
    <col min="11789" max="12032" width="9.42578125" style="183"/>
    <col min="12033" max="12033" width="2.42578125" style="183" bestFit="1" customWidth="1"/>
    <col min="12034" max="12034" width="9" style="183" customWidth="1"/>
    <col min="12035" max="12035" width="6.5703125" style="183" bestFit="1" customWidth="1"/>
    <col min="12036" max="12036" width="5" style="183" bestFit="1" customWidth="1"/>
    <col min="12037" max="12037" width="13.28515625" style="183" bestFit="1" customWidth="1"/>
    <col min="12038" max="12038" width="3.42578125" style="183" customWidth="1"/>
    <col min="12039" max="12039" width="1.7109375" style="183" bestFit="1" customWidth="1"/>
    <col min="12040" max="12040" width="1.85546875" style="183" bestFit="1" customWidth="1"/>
    <col min="12041" max="12041" width="4.5703125" style="183" bestFit="1" customWidth="1"/>
    <col min="12042" max="12042" width="4.85546875" style="183" bestFit="1" customWidth="1"/>
    <col min="12043" max="12043" width="26.5703125" style="183" customWidth="1"/>
    <col min="12044" max="12044" width="65.5703125" style="183" customWidth="1"/>
    <col min="12045" max="12288" width="9.42578125" style="183"/>
    <col min="12289" max="12289" width="2.42578125" style="183" bestFit="1" customWidth="1"/>
    <col min="12290" max="12290" width="9" style="183" customWidth="1"/>
    <col min="12291" max="12291" width="6.5703125" style="183" bestFit="1" customWidth="1"/>
    <col min="12292" max="12292" width="5" style="183" bestFit="1" customWidth="1"/>
    <col min="12293" max="12293" width="13.28515625" style="183" bestFit="1" customWidth="1"/>
    <col min="12294" max="12294" width="3.42578125" style="183" customWidth="1"/>
    <col min="12295" max="12295" width="1.7109375" style="183" bestFit="1" customWidth="1"/>
    <col min="12296" max="12296" width="1.85546875" style="183" bestFit="1" customWidth="1"/>
    <col min="12297" max="12297" width="4.5703125" style="183" bestFit="1" customWidth="1"/>
    <col min="12298" max="12298" width="4.85546875" style="183" bestFit="1" customWidth="1"/>
    <col min="12299" max="12299" width="26.5703125" style="183" customWidth="1"/>
    <col min="12300" max="12300" width="65.5703125" style="183" customWidth="1"/>
    <col min="12301" max="12544" width="9.42578125" style="183"/>
    <col min="12545" max="12545" width="2.42578125" style="183" bestFit="1" customWidth="1"/>
    <col min="12546" max="12546" width="9" style="183" customWidth="1"/>
    <col min="12547" max="12547" width="6.5703125" style="183" bestFit="1" customWidth="1"/>
    <col min="12548" max="12548" width="5" style="183" bestFit="1" customWidth="1"/>
    <col min="12549" max="12549" width="13.28515625" style="183" bestFit="1" customWidth="1"/>
    <col min="12550" max="12550" width="3.42578125" style="183" customWidth="1"/>
    <col min="12551" max="12551" width="1.7109375" style="183" bestFit="1" customWidth="1"/>
    <col min="12552" max="12552" width="1.85546875" style="183" bestFit="1" customWidth="1"/>
    <col min="12553" max="12553" width="4.5703125" style="183" bestFit="1" customWidth="1"/>
    <col min="12554" max="12554" width="4.85546875" style="183" bestFit="1" customWidth="1"/>
    <col min="12555" max="12555" width="26.5703125" style="183" customWidth="1"/>
    <col min="12556" max="12556" width="65.5703125" style="183" customWidth="1"/>
    <col min="12557" max="12800" width="9.42578125" style="183"/>
    <col min="12801" max="12801" width="2.42578125" style="183" bestFit="1" customWidth="1"/>
    <col min="12802" max="12802" width="9" style="183" customWidth="1"/>
    <col min="12803" max="12803" width="6.5703125" style="183" bestFit="1" customWidth="1"/>
    <col min="12804" max="12804" width="5" style="183" bestFit="1" customWidth="1"/>
    <col min="12805" max="12805" width="13.28515625" style="183" bestFit="1" customWidth="1"/>
    <col min="12806" max="12806" width="3.42578125" style="183" customWidth="1"/>
    <col min="12807" max="12807" width="1.7109375" style="183" bestFit="1" customWidth="1"/>
    <col min="12808" max="12808" width="1.85546875" style="183" bestFit="1" customWidth="1"/>
    <col min="12809" max="12809" width="4.5703125" style="183" bestFit="1" customWidth="1"/>
    <col min="12810" max="12810" width="4.85546875" style="183" bestFit="1" customWidth="1"/>
    <col min="12811" max="12811" width="26.5703125" style="183" customWidth="1"/>
    <col min="12812" max="12812" width="65.5703125" style="183" customWidth="1"/>
    <col min="12813" max="13056" width="9.42578125" style="183"/>
    <col min="13057" max="13057" width="2.42578125" style="183" bestFit="1" customWidth="1"/>
    <col min="13058" max="13058" width="9" style="183" customWidth="1"/>
    <col min="13059" max="13059" width="6.5703125" style="183" bestFit="1" customWidth="1"/>
    <col min="13060" max="13060" width="5" style="183" bestFit="1" customWidth="1"/>
    <col min="13061" max="13061" width="13.28515625" style="183" bestFit="1" customWidth="1"/>
    <col min="13062" max="13062" width="3.42578125" style="183" customWidth="1"/>
    <col min="13063" max="13063" width="1.7109375" style="183" bestFit="1" customWidth="1"/>
    <col min="13064" max="13064" width="1.85546875" style="183" bestFit="1" customWidth="1"/>
    <col min="13065" max="13065" width="4.5703125" style="183" bestFit="1" customWidth="1"/>
    <col min="13066" max="13066" width="4.85546875" style="183" bestFit="1" customWidth="1"/>
    <col min="13067" max="13067" width="26.5703125" style="183" customWidth="1"/>
    <col min="13068" max="13068" width="65.5703125" style="183" customWidth="1"/>
    <col min="13069" max="13312" width="9.42578125" style="183"/>
    <col min="13313" max="13313" width="2.42578125" style="183" bestFit="1" customWidth="1"/>
    <col min="13314" max="13314" width="9" style="183" customWidth="1"/>
    <col min="13315" max="13315" width="6.5703125" style="183" bestFit="1" customWidth="1"/>
    <col min="13316" max="13316" width="5" style="183" bestFit="1" customWidth="1"/>
    <col min="13317" max="13317" width="13.28515625" style="183" bestFit="1" customWidth="1"/>
    <col min="13318" max="13318" width="3.42578125" style="183" customWidth="1"/>
    <col min="13319" max="13319" width="1.7109375" style="183" bestFit="1" customWidth="1"/>
    <col min="13320" max="13320" width="1.85546875" style="183" bestFit="1" customWidth="1"/>
    <col min="13321" max="13321" width="4.5703125" style="183" bestFit="1" customWidth="1"/>
    <col min="13322" max="13322" width="4.85546875" style="183" bestFit="1" customWidth="1"/>
    <col min="13323" max="13323" width="26.5703125" style="183" customWidth="1"/>
    <col min="13324" max="13324" width="65.5703125" style="183" customWidth="1"/>
    <col min="13325" max="13568" width="9.42578125" style="183"/>
    <col min="13569" max="13569" width="2.42578125" style="183" bestFit="1" customWidth="1"/>
    <col min="13570" max="13570" width="9" style="183" customWidth="1"/>
    <col min="13571" max="13571" width="6.5703125" style="183" bestFit="1" customWidth="1"/>
    <col min="13572" max="13572" width="5" style="183" bestFit="1" customWidth="1"/>
    <col min="13573" max="13573" width="13.28515625" style="183" bestFit="1" customWidth="1"/>
    <col min="13574" max="13574" width="3.42578125" style="183" customWidth="1"/>
    <col min="13575" max="13575" width="1.7109375" style="183" bestFit="1" customWidth="1"/>
    <col min="13576" max="13576" width="1.85546875" style="183" bestFit="1" customWidth="1"/>
    <col min="13577" max="13577" width="4.5703125" style="183" bestFit="1" customWidth="1"/>
    <col min="13578" max="13578" width="4.85546875" style="183" bestFit="1" customWidth="1"/>
    <col min="13579" max="13579" width="26.5703125" style="183" customWidth="1"/>
    <col min="13580" max="13580" width="65.5703125" style="183" customWidth="1"/>
    <col min="13581" max="13824" width="9.42578125" style="183"/>
    <col min="13825" max="13825" width="2.42578125" style="183" bestFit="1" customWidth="1"/>
    <col min="13826" max="13826" width="9" style="183" customWidth="1"/>
    <col min="13827" max="13827" width="6.5703125" style="183" bestFit="1" customWidth="1"/>
    <col min="13828" max="13828" width="5" style="183" bestFit="1" customWidth="1"/>
    <col min="13829" max="13829" width="13.28515625" style="183" bestFit="1" customWidth="1"/>
    <col min="13830" max="13830" width="3.42578125" style="183" customWidth="1"/>
    <col min="13831" max="13831" width="1.7109375" style="183" bestFit="1" customWidth="1"/>
    <col min="13832" max="13832" width="1.85546875" style="183" bestFit="1" customWidth="1"/>
    <col min="13833" max="13833" width="4.5703125" style="183" bestFit="1" customWidth="1"/>
    <col min="13834" max="13834" width="4.85546875" style="183" bestFit="1" customWidth="1"/>
    <col min="13835" max="13835" width="26.5703125" style="183" customWidth="1"/>
    <col min="13836" max="13836" width="65.5703125" style="183" customWidth="1"/>
    <col min="13837" max="14080" width="9.42578125" style="183"/>
    <col min="14081" max="14081" width="2.42578125" style="183" bestFit="1" customWidth="1"/>
    <col min="14082" max="14082" width="9" style="183" customWidth="1"/>
    <col min="14083" max="14083" width="6.5703125" style="183" bestFit="1" customWidth="1"/>
    <col min="14084" max="14084" width="5" style="183" bestFit="1" customWidth="1"/>
    <col min="14085" max="14085" width="13.28515625" style="183" bestFit="1" customWidth="1"/>
    <col min="14086" max="14086" width="3.42578125" style="183" customWidth="1"/>
    <col min="14087" max="14087" width="1.7109375" style="183" bestFit="1" customWidth="1"/>
    <col min="14088" max="14088" width="1.85546875" style="183" bestFit="1" customWidth="1"/>
    <col min="14089" max="14089" width="4.5703125" style="183" bestFit="1" customWidth="1"/>
    <col min="14090" max="14090" width="4.85546875" style="183" bestFit="1" customWidth="1"/>
    <col min="14091" max="14091" width="26.5703125" style="183" customWidth="1"/>
    <col min="14092" max="14092" width="65.5703125" style="183" customWidth="1"/>
    <col min="14093" max="14336" width="9.42578125" style="183"/>
    <col min="14337" max="14337" width="2.42578125" style="183" bestFit="1" customWidth="1"/>
    <col min="14338" max="14338" width="9" style="183" customWidth="1"/>
    <col min="14339" max="14339" width="6.5703125" style="183" bestFit="1" customWidth="1"/>
    <col min="14340" max="14340" width="5" style="183" bestFit="1" customWidth="1"/>
    <col min="14341" max="14341" width="13.28515625" style="183" bestFit="1" customWidth="1"/>
    <col min="14342" max="14342" width="3.42578125" style="183" customWidth="1"/>
    <col min="14343" max="14343" width="1.7109375" style="183" bestFit="1" customWidth="1"/>
    <col min="14344" max="14344" width="1.85546875" style="183" bestFit="1" customWidth="1"/>
    <col min="14345" max="14345" width="4.5703125" style="183" bestFit="1" customWidth="1"/>
    <col min="14346" max="14346" width="4.85546875" style="183" bestFit="1" customWidth="1"/>
    <col min="14347" max="14347" width="26.5703125" style="183" customWidth="1"/>
    <col min="14348" max="14348" width="65.5703125" style="183" customWidth="1"/>
    <col min="14349" max="14592" width="9.42578125" style="183"/>
    <col min="14593" max="14593" width="2.42578125" style="183" bestFit="1" customWidth="1"/>
    <col min="14594" max="14594" width="9" style="183" customWidth="1"/>
    <col min="14595" max="14595" width="6.5703125" style="183" bestFit="1" customWidth="1"/>
    <col min="14596" max="14596" width="5" style="183" bestFit="1" customWidth="1"/>
    <col min="14597" max="14597" width="13.28515625" style="183" bestFit="1" customWidth="1"/>
    <col min="14598" max="14598" width="3.42578125" style="183" customWidth="1"/>
    <col min="14599" max="14599" width="1.7109375" style="183" bestFit="1" customWidth="1"/>
    <col min="14600" max="14600" width="1.85546875" style="183" bestFit="1" customWidth="1"/>
    <col min="14601" max="14601" width="4.5703125" style="183" bestFit="1" customWidth="1"/>
    <col min="14602" max="14602" width="4.85546875" style="183" bestFit="1" customWidth="1"/>
    <col min="14603" max="14603" width="26.5703125" style="183" customWidth="1"/>
    <col min="14604" max="14604" width="65.5703125" style="183" customWidth="1"/>
    <col min="14605" max="14848" width="9.42578125" style="183"/>
    <col min="14849" max="14849" width="2.42578125" style="183" bestFit="1" customWidth="1"/>
    <col min="14850" max="14850" width="9" style="183" customWidth="1"/>
    <col min="14851" max="14851" width="6.5703125" style="183" bestFit="1" customWidth="1"/>
    <col min="14852" max="14852" width="5" style="183" bestFit="1" customWidth="1"/>
    <col min="14853" max="14853" width="13.28515625" style="183" bestFit="1" customWidth="1"/>
    <col min="14854" max="14854" width="3.42578125" style="183" customWidth="1"/>
    <col min="14855" max="14855" width="1.7109375" style="183" bestFit="1" customWidth="1"/>
    <col min="14856" max="14856" width="1.85546875" style="183" bestFit="1" customWidth="1"/>
    <col min="14857" max="14857" width="4.5703125" style="183" bestFit="1" customWidth="1"/>
    <col min="14858" max="14858" width="4.85546875" style="183" bestFit="1" customWidth="1"/>
    <col min="14859" max="14859" width="26.5703125" style="183" customWidth="1"/>
    <col min="14860" max="14860" width="65.5703125" style="183" customWidth="1"/>
    <col min="14861" max="15104" width="9.42578125" style="183"/>
    <col min="15105" max="15105" width="2.42578125" style="183" bestFit="1" customWidth="1"/>
    <col min="15106" max="15106" width="9" style="183" customWidth="1"/>
    <col min="15107" max="15107" width="6.5703125" style="183" bestFit="1" customWidth="1"/>
    <col min="15108" max="15108" width="5" style="183" bestFit="1" customWidth="1"/>
    <col min="15109" max="15109" width="13.28515625" style="183" bestFit="1" customWidth="1"/>
    <col min="15110" max="15110" width="3.42578125" style="183" customWidth="1"/>
    <col min="15111" max="15111" width="1.7109375" style="183" bestFit="1" customWidth="1"/>
    <col min="15112" max="15112" width="1.85546875" style="183" bestFit="1" customWidth="1"/>
    <col min="15113" max="15113" width="4.5703125" style="183" bestFit="1" customWidth="1"/>
    <col min="15114" max="15114" width="4.85546875" style="183" bestFit="1" customWidth="1"/>
    <col min="15115" max="15115" width="26.5703125" style="183" customWidth="1"/>
    <col min="15116" max="15116" width="65.5703125" style="183" customWidth="1"/>
    <col min="15117" max="15360" width="9.42578125" style="183"/>
    <col min="15361" max="15361" width="2.42578125" style="183" bestFit="1" customWidth="1"/>
    <col min="15362" max="15362" width="9" style="183" customWidth="1"/>
    <col min="15363" max="15363" width="6.5703125" style="183" bestFit="1" customWidth="1"/>
    <col min="15364" max="15364" width="5" style="183" bestFit="1" customWidth="1"/>
    <col min="15365" max="15365" width="13.28515625" style="183" bestFit="1" customWidth="1"/>
    <col min="15366" max="15366" width="3.42578125" style="183" customWidth="1"/>
    <col min="15367" max="15367" width="1.7109375" style="183" bestFit="1" customWidth="1"/>
    <col min="15368" max="15368" width="1.85546875" style="183" bestFit="1" customWidth="1"/>
    <col min="15369" max="15369" width="4.5703125" style="183" bestFit="1" customWidth="1"/>
    <col min="15370" max="15370" width="4.85546875" style="183" bestFit="1" customWidth="1"/>
    <col min="15371" max="15371" width="26.5703125" style="183" customWidth="1"/>
    <col min="15372" max="15372" width="65.5703125" style="183" customWidth="1"/>
    <col min="15373" max="15616" width="9.42578125" style="183"/>
    <col min="15617" max="15617" width="2.42578125" style="183" bestFit="1" customWidth="1"/>
    <col min="15618" max="15618" width="9" style="183" customWidth="1"/>
    <col min="15619" max="15619" width="6.5703125" style="183" bestFit="1" customWidth="1"/>
    <col min="15620" max="15620" width="5" style="183" bestFit="1" customWidth="1"/>
    <col min="15621" max="15621" width="13.28515625" style="183" bestFit="1" customWidth="1"/>
    <col min="15622" max="15622" width="3.42578125" style="183" customWidth="1"/>
    <col min="15623" max="15623" width="1.7109375" style="183" bestFit="1" customWidth="1"/>
    <col min="15624" max="15624" width="1.85546875" style="183" bestFit="1" customWidth="1"/>
    <col min="15625" max="15625" width="4.5703125" style="183" bestFit="1" customWidth="1"/>
    <col min="15626" max="15626" width="4.85546875" style="183" bestFit="1" customWidth="1"/>
    <col min="15627" max="15627" width="26.5703125" style="183" customWidth="1"/>
    <col min="15628" max="15628" width="65.5703125" style="183" customWidth="1"/>
    <col min="15629" max="15872" width="9.42578125" style="183"/>
    <col min="15873" max="15873" width="2.42578125" style="183" bestFit="1" customWidth="1"/>
    <col min="15874" max="15874" width="9" style="183" customWidth="1"/>
    <col min="15875" max="15875" width="6.5703125" style="183" bestFit="1" customWidth="1"/>
    <col min="15876" max="15876" width="5" style="183" bestFit="1" customWidth="1"/>
    <col min="15877" max="15877" width="13.28515625" style="183" bestFit="1" customWidth="1"/>
    <col min="15878" max="15878" width="3.42578125" style="183" customWidth="1"/>
    <col min="15879" max="15879" width="1.7109375" style="183" bestFit="1" customWidth="1"/>
    <col min="15880" max="15880" width="1.85546875" style="183" bestFit="1" customWidth="1"/>
    <col min="15881" max="15881" width="4.5703125" style="183" bestFit="1" customWidth="1"/>
    <col min="15882" max="15882" width="4.85546875" style="183" bestFit="1" customWidth="1"/>
    <col min="15883" max="15883" width="26.5703125" style="183" customWidth="1"/>
    <col min="15884" max="15884" width="65.5703125" style="183" customWidth="1"/>
    <col min="15885" max="16128" width="9.42578125" style="183"/>
    <col min="16129" max="16129" width="2.42578125" style="183" bestFit="1" customWidth="1"/>
    <col min="16130" max="16130" width="9" style="183" customWidth="1"/>
    <col min="16131" max="16131" width="6.5703125" style="183" bestFit="1" customWidth="1"/>
    <col min="16132" max="16132" width="5" style="183" bestFit="1" customWidth="1"/>
    <col min="16133" max="16133" width="13.28515625" style="183" bestFit="1" customWidth="1"/>
    <col min="16134" max="16134" width="3.42578125" style="183" customWidth="1"/>
    <col min="16135" max="16135" width="1.7109375" style="183" bestFit="1" customWidth="1"/>
    <col min="16136" max="16136" width="1.85546875" style="183" bestFit="1" customWidth="1"/>
    <col min="16137" max="16137" width="4.5703125" style="183" bestFit="1" customWidth="1"/>
    <col min="16138" max="16138" width="4.85546875" style="183" bestFit="1" customWidth="1"/>
    <col min="16139" max="16139" width="26.5703125" style="183" customWidth="1"/>
    <col min="16140" max="16140" width="65.5703125" style="183" customWidth="1"/>
    <col min="16141" max="16384" width="9.42578125" style="183"/>
  </cols>
  <sheetData>
    <row r="1" spans="1:13" ht="9.9499999999999993" customHeight="1" x14ac:dyDescent="0.2">
      <c r="A1" s="179"/>
      <c r="B1" s="180" t="s">
        <v>250</v>
      </c>
      <c r="C1" s="180" t="s">
        <v>265</v>
      </c>
      <c r="D1" s="180" t="s">
        <v>257</v>
      </c>
      <c r="E1" s="179" t="s">
        <v>258</v>
      </c>
      <c r="F1" s="180" t="s">
        <v>259</v>
      </c>
      <c r="G1" s="180" t="s">
        <v>260</v>
      </c>
      <c r="H1" s="180" t="s">
        <v>261</v>
      </c>
      <c r="I1" s="180" t="s">
        <v>262</v>
      </c>
      <c r="J1" s="181" t="s">
        <v>263</v>
      </c>
      <c r="K1" s="180" t="s">
        <v>264</v>
      </c>
      <c r="L1" s="182" t="s">
        <v>289</v>
      </c>
    </row>
    <row r="2" spans="1:13" ht="9.9499999999999993" customHeight="1" x14ac:dyDescent="0.2">
      <c r="A2" s="179"/>
      <c r="B2" s="184">
        <v>31458</v>
      </c>
      <c r="C2" s="185" t="s">
        <v>330</v>
      </c>
      <c r="D2" s="185" t="s">
        <v>252</v>
      </c>
      <c r="E2" s="186" t="s">
        <v>331</v>
      </c>
      <c r="F2" s="185" t="s">
        <v>254</v>
      </c>
      <c r="G2" s="185">
        <v>1</v>
      </c>
      <c r="H2" s="185">
        <v>1</v>
      </c>
      <c r="I2" s="185" t="s">
        <v>270</v>
      </c>
      <c r="J2" s="187">
        <v>12752</v>
      </c>
      <c r="K2" s="188" t="s">
        <v>333</v>
      </c>
      <c r="L2" s="182" t="s">
        <v>1675</v>
      </c>
    </row>
    <row r="3" spans="1:13" ht="9.9499999999999993" customHeight="1" x14ac:dyDescent="0.2">
      <c r="A3" s="179">
        <v>1</v>
      </c>
      <c r="B3" s="189">
        <v>33579</v>
      </c>
      <c r="C3" s="190" t="s">
        <v>251</v>
      </c>
      <c r="D3" s="191" t="s">
        <v>252</v>
      </c>
      <c r="E3" s="192" t="s">
        <v>253</v>
      </c>
      <c r="F3" s="191" t="s">
        <v>254</v>
      </c>
      <c r="G3" s="191">
        <v>1</v>
      </c>
      <c r="H3" s="191">
        <v>1</v>
      </c>
      <c r="I3" s="191" t="s">
        <v>255</v>
      </c>
      <c r="J3" s="193">
        <v>4646</v>
      </c>
      <c r="K3" s="192" t="s">
        <v>256</v>
      </c>
      <c r="L3" s="183" t="s">
        <v>1676</v>
      </c>
    </row>
    <row r="4" spans="1:13" ht="9.9499999999999993" customHeight="1" x14ac:dyDescent="0.2">
      <c r="A4" s="179">
        <v>2</v>
      </c>
      <c r="B4" s="189">
        <v>34945</v>
      </c>
      <c r="C4" s="190" t="s">
        <v>1677</v>
      </c>
      <c r="D4" s="191" t="s">
        <v>261</v>
      </c>
      <c r="E4" s="192" t="s">
        <v>1678</v>
      </c>
      <c r="F4" s="191" t="s">
        <v>268</v>
      </c>
      <c r="G4" s="191">
        <v>0</v>
      </c>
      <c r="H4" s="191">
        <v>2</v>
      </c>
      <c r="I4" s="191" t="s">
        <v>1275</v>
      </c>
      <c r="J4" s="193">
        <v>4304</v>
      </c>
      <c r="K4" s="192"/>
      <c r="L4" s="183" t="s">
        <v>1679</v>
      </c>
      <c r="M4" s="183" t="s">
        <v>1680</v>
      </c>
    </row>
    <row r="5" spans="1:13" ht="9.9499999999999993" customHeight="1" x14ac:dyDescent="0.2">
      <c r="A5" s="179">
        <v>3</v>
      </c>
      <c r="B5" s="189">
        <v>35015</v>
      </c>
      <c r="C5" s="190" t="s">
        <v>266</v>
      </c>
      <c r="D5" s="191" t="s">
        <v>252</v>
      </c>
      <c r="E5" s="192" t="s">
        <v>267</v>
      </c>
      <c r="F5" s="191" t="s">
        <v>268</v>
      </c>
      <c r="G5" s="191">
        <v>0</v>
      </c>
      <c r="H5" s="191">
        <v>1</v>
      </c>
      <c r="I5" s="191" t="s">
        <v>255</v>
      </c>
      <c r="J5" s="193">
        <v>4228</v>
      </c>
      <c r="K5" s="192"/>
      <c r="L5" s="183" t="s">
        <v>1676</v>
      </c>
    </row>
    <row r="6" spans="1:13" ht="9.9499999999999993" customHeight="1" x14ac:dyDescent="0.2">
      <c r="A6" s="179">
        <v>4</v>
      </c>
      <c r="B6" s="194">
        <v>35630</v>
      </c>
      <c r="C6" s="182" t="s">
        <v>1681</v>
      </c>
      <c r="D6" s="180" t="s">
        <v>747</v>
      </c>
      <c r="E6" s="179" t="s">
        <v>383</v>
      </c>
      <c r="F6" s="180" t="s">
        <v>281</v>
      </c>
      <c r="G6" s="180">
        <v>2</v>
      </c>
      <c r="H6" s="180">
        <v>1</v>
      </c>
      <c r="I6" s="195" t="s">
        <v>352</v>
      </c>
      <c r="J6" s="181" t="s">
        <v>1682</v>
      </c>
      <c r="K6" s="182" t="s">
        <v>1683</v>
      </c>
      <c r="L6" s="182" t="s">
        <v>1684</v>
      </c>
      <c r="M6" s="183" t="s">
        <v>1680</v>
      </c>
    </row>
    <row r="7" spans="1:13" ht="9.9499999999999993" customHeight="1" x14ac:dyDescent="0.2">
      <c r="A7" s="179">
        <v>5</v>
      </c>
      <c r="B7" s="194">
        <v>35631</v>
      </c>
      <c r="C7" s="182" t="s">
        <v>1681</v>
      </c>
      <c r="D7" s="180" t="s">
        <v>747</v>
      </c>
      <c r="E7" s="179" t="s">
        <v>1685</v>
      </c>
      <c r="F7" s="180" t="s">
        <v>254</v>
      </c>
      <c r="G7" s="180">
        <v>2</v>
      </c>
      <c r="H7" s="180">
        <v>2</v>
      </c>
      <c r="I7" s="195" t="s">
        <v>1090</v>
      </c>
      <c r="J7" s="181" t="s">
        <v>1682</v>
      </c>
      <c r="K7" s="196" t="s">
        <v>1686</v>
      </c>
      <c r="L7" s="182" t="s">
        <v>1687</v>
      </c>
      <c r="M7" s="183" t="s">
        <v>1680</v>
      </c>
    </row>
    <row r="8" spans="1:13" ht="9.9499999999999993" customHeight="1" x14ac:dyDescent="0.2">
      <c r="A8" s="179">
        <v>6</v>
      </c>
      <c r="B8" s="197">
        <v>37667</v>
      </c>
      <c r="C8" s="198" t="s">
        <v>271</v>
      </c>
      <c r="D8" s="199" t="s">
        <v>252</v>
      </c>
      <c r="E8" s="198" t="s">
        <v>269</v>
      </c>
      <c r="F8" s="199" t="s">
        <v>254</v>
      </c>
      <c r="G8" s="199">
        <v>0</v>
      </c>
      <c r="H8" s="199">
        <v>0</v>
      </c>
      <c r="I8" s="199" t="s">
        <v>270</v>
      </c>
      <c r="J8" s="200">
        <v>5953</v>
      </c>
      <c r="K8" s="198"/>
      <c r="L8" s="183" t="s">
        <v>1676</v>
      </c>
    </row>
    <row r="9" spans="1:13" ht="9.9499999999999993" customHeight="1" x14ac:dyDescent="0.2">
      <c r="A9" s="179">
        <v>7</v>
      </c>
      <c r="B9" s="201">
        <v>38265</v>
      </c>
      <c r="C9" s="196" t="s">
        <v>273</v>
      </c>
      <c r="D9" s="202" t="s">
        <v>261</v>
      </c>
      <c r="E9" s="196" t="s">
        <v>272</v>
      </c>
      <c r="F9" s="202" t="s">
        <v>268</v>
      </c>
      <c r="G9" s="202">
        <v>1</v>
      </c>
      <c r="H9" s="202">
        <v>2</v>
      </c>
      <c r="I9" s="203" t="s">
        <v>255</v>
      </c>
      <c r="J9" s="204">
        <v>1708</v>
      </c>
      <c r="K9" s="182" t="s">
        <v>1688</v>
      </c>
      <c r="L9" s="183" t="s">
        <v>1676</v>
      </c>
    </row>
    <row r="10" spans="1:13" ht="9.9499999999999993" customHeight="1" x14ac:dyDescent="0.2">
      <c r="A10" s="179">
        <v>8</v>
      </c>
      <c r="B10" s="201">
        <v>38425</v>
      </c>
      <c r="C10" s="196" t="s">
        <v>273</v>
      </c>
      <c r="D10" s="202" t="s">
        <v>261</v>
      </c>
      <c r="E10" s="196" t="s">
        <v>805</v>
      </c>
      <c r="F10" s="202" t="s">
        <v>268</v>
      </c>
      <c r="G10" s="202">
        <v>0</v>
      </c>
      <c r="H10" s="202">
        <v>2</v>
      </c>
      <c r="I10" s="202" t="s">
        <v>270</v>
      </c>
      <c r="J10" s="204">
        <v>2165</v>
      </c>
      <c r="K10" s="182" t="s">
        <v>275</v>
      </c>
      <c r="L10" s="183" t="s">
        <v>1676</v>
      </c>
    </row>
    <row r="11" spans="1:13" ht="9.9499999999999993" customHeight="1" x14ac:dyDescent="0.2">
      <c r="A11" s="179">
        <v>9</v>
      </c>
      <c r="B11" s="201">
        <v>38593</v>
      </c>
      <c r="C11" s="196" t="s">
        <v>273</v>
      </c>
      <c r="D11" s="202" t="s">
        <v>261</v>
      </c>
      <c r="E11" s="196" t="s">
        <v>805</v>
      </c>
      <c r="F11" s="202" t="s">
        <v>268</v>
      </c>
      <c r="G11" s="202">
        <v>0</v>
      </c>
      <c r="H11" s="202">
        <v>1</v>
      </c>
      <c r="I11" s="202" t="s">
        <v>270</v>
      </c>
      <c r="J11" s="204">
        <v>2078</v>
      </c>
      <c r="K11" s="182">
        <v>62</v>
      </c>
      <c r="L11" s="183" t="s">
        <v>1676</v>
      </c>
    </row>
    <row r="12" spans="1:13" ht="9.9499999999999993" customHeight="1" x14ac:dyDescent="0.2">
      <c r="B12" s="201">
        <v>38664</v>
      </c>
      <c r="C12" s="196" t="s">
        <v>273</v>
      </c>
      <c r="D12" s="202" t="s">
        <v>252</v>
      </c>
      <c r="E12" s="196" t="s">
        <v>276</v>
      </c>
      <c r="F12" s="202" t="s">
        <v>356</v>
      </c>
      <c r="G12" s="202"/>
      <c r="H12" s="202"/>
      <c r="I12" s="202"/>
      <c r="J12" s="204"/>
      <c r="L12" s="183" t="s">
        <v>1689</v>
      </c>
    </row>
    <row r="13" spans="1:13" ht="9.9499999999999993" customHeight="1" x14ac:dyDescent="0.2">
      <c r="A13" s="179">
        <v>10</v>
      </c>
      <c r="B13" s="201">
        <v>39209</v>
      </c>
      <c r="C13" s="196" t="s">
        <v>1690</v>
      </c>
      <c r="D13" s="202" t="s">
        <v>261</v>
      </c>
      <c r="E13" s="196" t="s">
        <v>272</v>
      </c>
      <c r="F13" s="202" t="s">
        <v>268</v>
      </c>
      <c r="G13" s="202">
        <v>1</v>
      </c>
      <c r="H13" s="202">
        <v>2</v>
      </c>
      <c r="I13" s="203" t="s">
        <v>359</v>
      </c>
      <c r="J13" s="204">
        <v>5567</v>
      </c>
      <c r="K13" s="196" t="s">
        <v>1691</v>
      </c>
      <c r="L13" s="183" t="s">
        <v>1676</v>
      </c>
    </row>
    <row r="14" spans="1:13" ht="9.9499999999999993" customHeight="1" x14ac:dyDescent="0.2">
      <c r="A14" s="179">
        <v>11</v>
      </c>
      <c r="B14" s="201">
        <v>39314</v>
      </c>
      <c r="C14" s="196" t="s">
        <v>1692</v>
      </c>
      <c r="D14" s="202" t="s">
        <v>261</v>
      </c>
      <c r="E14" s="196" t="s">
        <v>1693</v>
      </c>
      <c r="F14" s="202" t="s">
        <v>254</v>
      </c>
      <c r="G14" s="202">
        <v>1</v>
      </c>
      <c r="H14" s="202">
        <v>1</v>
      </c>
      <c r="I14" s="202" t="s">
        <v>255</v>
      </c>
      <c r="J14" s="204">
        <v>4242</v>
      </c>
      <c r="K14" s="179" t="s">
        <v>1694</v>
      </c>
      <c r="L14" s="183" t="s">
        <v>1695</v>
      </c>
    </row>
    <row r="15" spans="1:13" ht="9.9499999999999993" customHeight="1" x14ac:dyDescent="0.2">
      <c r="A15" s="179">
        <v>12</v>
      </c>
      <c r="B15" s="201">
        <v>39324</v>
      </c>
      <c r="C15" s="196" t="s">
        <v>1692</v>
      </c>
      <c r="D15" s="202" t="s">
        <v>252</v>
      </c>
      <c r="E15" s="196" t="s">
        <v>347</v>
      </c>
      <c r="F15" s="202" t="s">
        <v>268</v>
      </c>
      <c r="G15" s="202">
        <v>2</v>
      </c>
      <c r="H15" s="202">
        <v>3</v>
      </c>
      <c r="I15" s="205" t="s">
        <v>255</v>
      </c>
      <c r="J15" s="204">
        <v>2044</v>
      </c>
      <c r="K15" s="179" t="s">
        <v>1696</v>
      </c>
      <c r="L15" s="183" t="s">
        <v>1695</v>
      </c>
    </row>
    <row r="16" spans="1:13" ht="9.9499999999999993" customHeight="1" x14ac:dyDescent="0.2">
      <c r="A16" s="179">
        <v>13</v>
      </c>
      <c r="B16" s="201">
        <v>39352</v>
      </c>
      <c r="C16" s="196" t="s">
        <v>1692</v>
      </c>
      <c r="D16" s="202" t="s">
        <v>252</v>
      </c>
      <c r="E16" s="196" t="s">
        <v>1697</v>
      </c>
      <c r="F16" s="202" t="s">
        <v>281</v>
      </c>
      <c r="G16" s="202">
        <v>3</v>
      </c>
      <c r="H16" s="202">
        <v>2</v>
      </c>
      <c r="I16" s="202" t="s">
        <v>255</v>
      </c>
      <c r="J16" s="204">
        <v>2134</v>
      </c>
      <c r="K16" s="179" t="s">
        <v>1698</v>
      </c>
      <c r="L16" s="183" t="s">
        <v>1695</v>
      </c>
    </row>
    <row r="17" spans="1:12" ht="9.9499999999999993" customHeight="1" x14ac:dyDescent="0.2">
      <c r="A17" s="179">
        <v>14</v>
      </c>
      <c r="B17" s="201">
        <v>39376</v>
      </c>
      <c r="C17" s="196" t="s">
        <v>1692</v>
      </c>
      <c r="D17" s="202" t="s">
        <v>252</v>
      </c>
      <c r="E17" s="196" t="s">
        <v>1699</v>
      </c>
      <c r="F17" s="202" t="s">
        <v>268</v>
      </c>
      <c r="G17" s="202">
        <v>0</v>
      </c>
      <c r="H17" s="202">
        <v>1</v>
      </c>
      <c r="I17" s="202" t="s">
        <v>270</v>
      </c>
      <c r="J17" s="204">
        <v>2483</v>
      </c>
      <c r="K17" s="182">
        <v>51</v>
      </c>
      <c r="L17" s="183" t="s">
        <v>1695</v>
      </c>
    </row>
    <row r="18" spans="1:12" ht="9.9499999999999993" customHeight="1" x14ac:dyDescent="0.2">
      <c r="A18" s="179">
        <v>15</v>
      </c>
      <c r="B18" s="201">
        <v>39390</v>
      </c>
      <c r="C18" s="196" t="s">
        <v>1692</v>
      </c>
      <c r="D18" s="202" t="s">
        <v>261</v>
      </c>
      <c r="E18" s="196" t="s">
        <v>351</v>
      </c>
      <c r="F18" s="202" t="s">
        <v>281</v>
      </c>
      <c r="G18" s="202">
        <v>4</v>
      </c>
      <c r="H18" s="202">
        <v>1</v>
      </c>
      <c r="I18" s="205" t="s">
        <v>352</v>
      </c>
      <c r="J18" s="204">
        <v>1603</v>
      </c>
      <c r="K18" s="206" t="s">
        <v>1700</v>
      </c>
      <c r="L18" s="183" t="s">
        <v>1695</v>
      </c>
    </row>
    <row r="19" spans="1:12" ht="9.9499999999999993" customHeight="1" x14ac:dyDescent="0.2">
      <c r="A19" s="179">
        <v>16</v>
      </c>
      <c r="B19" s="201">
        <v>39517</v>
      </c>
      <c r="C19" s="196" t="s">
        <v>1692</v>
      </c>
      <c r="D19" s="202" t="s">
        <v>252</v>
      </c>
      <c r="E19" s="196" t="s">
        <v>1701</v>
      </c>
      <c r="F19" s="202" t="s">
        <v>281</v>
      </c>
      <c r="G19" s="202">
        <v>3</v>
      </c>
      <c r="H19" s="202">
        <v>2</v>
      </c>
      <c r="I19" s="205" t="s">
        <v>352</v>
      </c>
      <c r="J19" s="204">
        <v>1567</v>
      </c>
      <c r="K19" s="206" t="s">
        <v>1702</v>
      </c>
      <c r="L19" s="183" t="s">
        <v>1695</v>
      </c>
    </row>
    <row r="20" spans="1:12" ht="9.9499999999999993" customHeight="1" x14ac:dyDescent="0.2">
      <c r="A20" s="179">
        <v>17</v>
      </c>
      <c r="B20" s="201">
        <v>39532</v>
      </c>
      <c r="C20" s="196" t="s">
        <v>1692</v>
      </c>
      <c r="D20" s="202" t="s">
        <v>252</v>
      </c>
      <c r="E20" s="196" t="s">
        <v>1703</v>
      </c>
      <c r="F20" s="202" t="s">
        <v>254</v>
      </c>
      <c r="G20" s="202">
        <v>1</v>
      </c>
      <c r="H20" s="202">
        <v>1</v>
      </c>
      <c r="I20" s="205" t="s">
        <v>359</v>
      </c>
      <c r="J20" s="204">
        <v>1941</v>
      </c>
      <c r="K20" s="206" t="s">
        <v>1704</v>
      </c>
      <c r="L20" s="183" t="s">
        <v>1695</v>
      </c>
    </row>
    <row r="21" spans="1:12" ht="9.9499999999999993" customHeight="1" x14ac:dyDescent="0.2">
      <c r="A21" s="179">
        <v>18</v>
      </c>
      <c r="B21" s="201">
        <v>39674</v>
      </c>
      <c r="C21" s="196" t="s">
        <v>1692</v>
      </c>
      <c r="D21" s="202" t="s">
        <v>252</v>
      </c>
      <c r="E21" s="196" t="s">
        <v>364</v>
      </c>
      <c r="F21" s="202" t="s">
        <v>281</v>
      </c>
      <c r="G21" s="202">
        <v>1</v>
      </c>
      <c r="H21" s="202">
        <v>0</v>
      </c>
      <c r="I21" s="205" t="s">
        <v>359</v>
      </c>
      <c r="J21" s="204">
        <v>2603</v>
      </c>
      <c r="K21" s="206" t="s">
        <v>365</v>
      </c>
      <c r="L21" s="183" t="s">
        <v>1705</v>
      </c>
    </row>
    <row r="22" spans="1:12" ht="9.9499999999999993" customHeight="1" x14ac:dyDescent="0.2">
      <c r="A22" s="179">
        <v>19</v>
      </c>
      <c r="B22" s="201">
        <v>39688</v>
      </c>
      <c r="C22" s="196" t="s">
        <v>1692</v>
      </c>
      <c r="D22" s="202" t="s">
        <v>261</v>
      </c>
      <c r="E22" s="196" t="s">
        <v>1706</v>
      </c>
      <c r="F22" s="202" t="s">
        <v>254</v>
      </c>
      <c r="G22" s="202">
        <v>1</v>
      </c>
      <c r="H22" s="202">
        <v>1</v>
      </c>
      <c r="I22" s="205" t="s">
        <v>270</v>
      </c>
      <c r="J22" s="204">
        <v>1598</v>
      </c>
      <c r="K22" s="182" t="s">
        <v>1707</v>
      </c>
      <c r="L22" s="207" t="s">
        <v>1708</v>
      </c>
    </row>
    <row r="23" spans="1:12" ht="9.9499999999999993" customHeight="1" x14ac:dyDescent="0.2">
      <c r="A23" s="179">
        <v>20</v>
      </c>
      <c r="B23" s="201">
        <v>39693</v>
      </c>
      <c r="C23" s="196" t="s">
        <v>1692</v>
      </c>
      <c r="D23" s="202" t="s">
        <v>252</v>
      </c>
      <c r="E23" s="196" t="s">
        <v>1709</v>
      </c>
      <c r="F23" s="202" t="s">
        <v>254</v>
      </c>
      <c r="G23" s="202">
        <v>1</v>
      </c>
      <c r="H23" s="202">
        <v>1</v>
      </c>
      <c r="I23" s="205" t="s">
        <v>359</v>
      </c>
      <c r="J23" s="204">
        <v>2520</v>
      </c>
      <c r="K23" s="196" t="s">
        <v>1710</v>
      </c>
      <c r="L23" s="183" t="s">
        <v>1695</v>
      </c>
    </row>
    <row r="24" spans="1:12" ht="9.9499999999999993" customHeight="1" x14ac:dyDescent="0.2">
      <c r="A24" s="179">
        <v>21</v>
      </c>
      <c r="B24" s="201">
        <v>39808</v>
      </c>
      <c r="C24" s="196" t="s">
        <v>1692</v>
      </c>
      <c r="D24" s="202" t="s">
        <v>261</v>
      </c>
      <c r="E24" s="196" t="s">
        <v>371</v>
      </c>
      <c r="F24" s="202" t="s">
        <v>268</v>
      </c>
      <c r="G24" s="202">
        <v>1</v>
      </c>
      <c r="H24" s="202">
        <v>2</v>
      </c>
      <c r="I24" s="205" t="s">
        <v>270</v>
      </c>
      <c r="J24" s="204">
        <v>3578</v>
      </c>
      <c r="K24" s="196" t="s">
        <v>1711</v>
      </c>
      <c r="L24" s="183" t="s">
        <v>1695</v>
      </c>
    </row>
    <row r="25" spans="1:12" ht="9.9499999999999993" customHeight="1" x14ac:dyDescent="0.2">
      <c r="A25" s="179"/>
      <c r="B25" s="201">
        <v>39819</v>
      </c>
      <c r="C25" s="196" t="s">
        <v>1692</v>
      </c>
      <c r="D25" s="202" t="s">
        <v>261</v>
      </c>
      <c r="E25" s="196" t="s">
        <v>372</v>
      </c>
      <c r="F25" s="202" t="s">
        <v>356</v>
      </c>
      <c r="G25" s="202" t="s">
        <v>1712</v>
      </c>
      <c r="H25" s="202" t="s">
        <v>1712</v>
      </c>
      <c r="I25" s="205" t="s">
        <v>1712</v>
      </c>
      <c r="J25" s="204" t="s">
        <v>1712</v>
      </c>
      <c r="K25" s="196" t="s">
        <v>1712</v>
      </c>
      <c r="L25" s="183" t="s">
        <v>1713</v>
      </c>
    </row>
    <row r="26" spans="1:12" ht="9.9499999999999993" customHeight="1" x14ac:dyDescent="0.2">
      <c r="A26" s="179"/>
      <c r="B26" s="201">
        <v>39916</v>
      </c>
      <c r="C26" s="196" t="s">
        <v>1692</v>
      </c>
      <c r="D26" s="202" t="s">
        <v>261</v>
      </c>
      <c r="E26" s="196" t="s">
        <v>402</v>
      </c>
      <c r="F26" s="202"/>
      <c r="G26" s="202"/>
      <c r="H26" s="202"/>
      <c r="I26" s="205"/>
      <c r="J26" s="204"/>
      <c r="K26" s="196"/>
      <c r="L26" s="183" t="s">
        <v>1714</v>
      </c>
    </row>
    <row r="27" spans="1:12" ht="9.9499999999999993" customHeight="1" x14ac:dyDescent="0.2">
      <c r="A27" s="179">
        <v>22</v>
      </c>
      <c r="B27" s="201">
        <v>39942</v>
      </c>
      <c r="C27" s="196" t="s">
        <v>899</v>
      </c>
      <c r="D27" s="202" t="s">
        <v>747</v>
      </c>
      <c r="E27" s="196" t="s">
        <v>1715</v>
      </c>
      <c r="F27" s="202" t="s">
        <v>268</v>
      </c>
      <c r="G27" s="202">
        <v>0</v>
      </c>
      <c r="H27" s="202">
        <v>2</v>
      </c>
      <c r="I27" s="205" t="s">
        <v>270</v>
      </c>
      <c r="J27" s="204">
        <v>27102</v>
      </c>
      <c r="K27" s="179" t="s">
        <v>1716</v>
      </c>
      <c r="L27" s="183" t="s">
        <v>1717</v>
      </c>
    </row>
    <row r="28" spans="1:12" ht="9.9499999999999993" customHeight="1" x14ac:dyDescent="0.2">
      <c r="A28" s="179">
        <v>23</v>
      </c>
      <c r="B28" s="201">
        <v>40314</v>
      </c>
      <c r="C28" s="196" t="s">
        <v>1718</v>
      </c>
      <c r="D28" s="202" t="s">
        <v>747</v>
      </c>
      <c r="E28" s="196" t="s">
        <v>1678</v>
      </c>
      <c r="F28" s="202" t="s">
        <v>268</v>
      </c>
      <c r="G28" s="202">
        <v>1</v>
      </c>
      <c r="H28" s="202">
        <v>3</v>
      </c>
      <c r="I28" s="205" t="s">
        <v>975</v>
      </c>
      <c r="J28" s="204">
        <v>38957</v>
      </c>
      <c r="K28" s="179" t="s">
        <v>1719</v>
      </c>
      <c r="L28" s="183" t="s">
        <v>1717</v>
      </c>
    </row>
    <row r="29" spans="1:12" ht="9.9499999999999993" customHeight="1" x14ac:dyDescent="0.2">
      <c r="A29" s="179">
        <v>24</v>
      </c>
      <c r="B29" s="201">
        <v>40448</v>
      </c>
      <c r="C29" s="196" t="s">
        <v>1692</v>
      </c>
      <c r="D29" s="202" t="s">
        <v>252</v>
      </c>
      <c r="E29" s="196" t="s">
        <v>981</v>
      </c>
      <c r="F29" s="202" t="s">
        <v>254</v>
      </c>
      <c r="G29" s="202">
        <v>0</v>
      </c>
      <c r="H29" s="202">
        <v>0</v>
      </c>
      <c r="I29" s="205" t="s">
        <v>270</v>
      </c>
      <c r="J29" s="204">
        <v>3176</v>
      </c>
      <c r="K29" s="179"/>
      <c r="L29" s="183" t="s">
        <v>1720</v>
      </c>
    </row>
    <row r="30" spans="1:12" ht="9.9499999999999993" customHeight="1" x14ac:dyDescent="0.2">
      <c r="A30" s="179">
        <v>25</v>
      </c>
      <c r="B30" s="201">
        <v>40658</v>
      </c>
      <c r="C30" s="196" t="s">
        <v>1692</v>
      </c>
      <c r="D30" s="202" t="s">
        <v>252</v>
      </c>
      <c r="E30" s="196" t="s">
        <v>1721</v>
      </c>
      <c r="F30" s="202" t="s">
        <v>254</v>
      </c>
      <c r="G30" s="202">
        <v>0</v>
      </c>
      <c r="H30" s="202">
        <v>0</v>
      </c>
      <c r="I30" s="205" t="s">
        <v>270</v>
      </c>
      <c r="J30" s="204">
        <v>2939</v>
      </c>
      <c r="K30" s="179"/>
      <c r="L30" s="183" t="s">
        <v>1722</v>
      </c>
    </row>
    <row r="31" spans="1:12" ht="9.9499999999999993" customHeight="1" x14ac:dyDescent="0.2">
      <c r="A31" s="179">
        <v>26</v>
      </c>
      <c r="B31" s="201">
        <v>40781</v>
      </c>
      <c r="C31" s="196" t="s">
        <v>1692</v>
      </c>
      <c r="D31" s="202" t="s">
        <v>261</v>
      </c>
      <c r="E31" s="196" t="s">
        <v>1723</v>
      </c>
      <c r="F31" s="202" t="s">
        <v>254</v>
      </c>
      <c r="G31" s="202">
        <v>0</v>
      </c>
      <c r="H31" s="202">
        <v>0</v>
      </c>
      <c r="I31" s="205" t="s">
        <v>270</v>
      </c>
      <c r="J31" s="204">
        <v>2111</v>
      </c>
      <c r="K31" s="179"/>
      <c r="L31" s="183" t="s">
        <v>1724</v>
      </c>
    </row>
    <row r="32" spans="1:12" ht="9.9499999999999993" customHeight="1" x14ac:dyDescent="0.2">
      <c r="A32" s="179">
        <v>27</v>
      </c>
      <c r="B32" s="201">
        <v>40896</v>
      </c>
      <c r="C32" s="196" t="s">
        <v>1692</v>
      </c>
      <c r="D32" s="202" t="s">
        <v>252</v>
      </c>
      <c r="E32" s="196" t="s">
        <v>1725</v>
      </c>
      <c r="F32" s="202" t="s">
        <v>268</v>
      </c>
      <c r="G32" s="202">
        <v>2</v>
      </c>
      <c r="H32" s="202">
        <v>3</v>
      </c>
      <c r="I32" s="205" t="s">
        <v>1278</v>
      </c>
      <c r="J32" s="204">
        <v>2830</v>
      </c>
      <c r="K32" s="196" t="s">
        <v>1726</v>
      </c>
      <c r="L32" s="183" t="s">
        <v>1724</v>
      </c>
    </row>
    <row r="33" spans="1:20" ht="9.9499999999999993" customHeight="1" x14ac:dyDescent="0.2">
      <c r="A33" s="179">
        <v>28</v>
      </c>
      <c r="B33" s="201">
        <v>40961</v>
      </c>
      <c r="C33" s="196" t="s">
        <v>1692</v>
      </c>
      <c r="D33" s="202" t="s">
        <v>252</v>
      </c>
      <c r="E33" s="196" t="s">
        <v>995</v>
      </c>
      <c r="F33" s="202" t="s">
        <v>268</v>
      </c>
      <c r="G33" s="202">
        <v>1</v>
      </c>
      <c r="H33" s="202">
        <v>2</v>
      </c>
      <c r="I33" s="205" t="s">
        <v>255</v>
      </c>
      <c r="J33" s="204">
        <v>2683</v>
      </c>
      <c r="K33" s="179" t="s">
        <v>1727</v>
      </c>
      <c r="L33" s="183" t="s">
        <v>1724</v>
      </c>
    </row>
    <row r="34" spans="1:20" ht="9.9499999999999993" customHeight="1" x14ac:dyDescent="0.2">
      <c r="A34" s="179">
        <v>29</v>
      </c>
      <c r="B34" s="201">
        <v>40998</v>
      </c>
      <c r="C34" s="196" t="s">
        <v>1692</v>
      </c>
      <c r="D34" s="202" t="s">
        <v>261</v>
      </c>
      <c r="E34" s="196" t="s">
        <v>1728</v>
      </c>
      <c r="F34" s="202" t="s">
        <v>281</v>
      </c>
      <c r="G34" s="202">
        <v>2</v>
      </c>
      <c r="H34" s="202">
        <v>1</v>
      </c>
      <c r="I34" s="205" t="s">
        <v>255</v>
      </c>
      <c r="J34" s="204">
        <v>5925</v>
      </c>
      <c r="K34" s="179" t="s">
        <v>1729</v>
      </c>
      <c r="L34" s="183" t="s">
        <v>1724</v>
      </c>
    </row>
    <row r="35" spans="1:20" ht="9.9499999999999993" customHeight="1" x14ac:dyDescent="0.2">
      <c r="A35" s="179">
        <v>30</v>
      </c>
      <c r="B35" s="201">
        <v>41031</v>
      </c>
      <c r="C35" s="196" t="s">
        <v>1730</v>
      </c>
      <c r="D35" s="202" t="s">
        <v>252</v>
      </c>
      <c r="E35" s="196" t="s">
        <v>1709</v>
      </c>
      <c r="F35" s="202" t="s">
        <v>254</v>
      </c>
      <c r="G35" s="202">
        <v>1</v>
      </c>
      <c r="H35" s="202">
        <v>1</v>
      </c>
      <c r="I35" s="205" t="s">
        <v>327</v>
      </c>
      <c r="J35" s="204">
        <v>6057</v>
      </c>
      <c r="K35" s="179" t="s">
        <v>1731</v>
      </c>
      <c r="L35" s="183" t="s">
        <v>1724</v>
      </c>
    </row>
    <row r="36" spans="1:20" ht="9.9499999999999993" customHeight="1" x14ac:dyDescent="0.2">
      <c r="A36" s="179">
        <v>31</v>
      </c>
      <c r="B36" s="201">
        <v>41036</v>
      </c>
      <c r="C36" s="196" t="s">
        <v>1730</v>
      </c>
      <c r="D36" s="202" t="s">
        <v>261</v>
      </c>
      <c r="E36" s="196" t="s">
        <v>1732</v>
      </c>
      <c r="F36" s="202" t="s">
        <v>281</v>
      </c>
      <c r="G36" s="202">
        <v>1</v>
      </c>
      <c r="H36" s="202">
        <v>0</v>
      </c>
      <c r="I36" s="205" t="s">
        <v>270</v>
      </c>
      <c r="J36" s="204">
        <v>7295</v>
      </c>
      <c r="K36" s="196" t="s">
        <v>1733</v>
      </c>
      <c r="L36" s="183" t="s">
        <v>1724</v>
      </c>
    </row>
    <row r="37" spans="1:20" ht="9.9499999999999993" customHeight="1" x14ac:dyDescent="0.2">
      <c r="A37" s="179">
        <v>32</v>
      </c>
      <c r="B37" s="201">
        <v>41049</v>
      </c>
      <c r="C37" s="196" t="s">
        <v>1718</v>
      </c>
      <c r="D37" s="202" t="s">
        <v>747</v>
      </c>
      <c r="E37" s="196" t="s">
        <v>1728</v>
      </c>
      <c r="F37" s="202" t="s">
        <v>281</v>
      </c>
      <c r="G37" s="202">
        <v>2</v>
      </c>
      <c r="H37" s="202">
        <v>1</v>
      </c>
      <c r="I37" s="205" t="s">
        <v>327</v>
      </c>
      <c r="J37" s="204">
        <v>39265</v>
      </c>
      <c r="K37" s="196" t="s">
        <v>1734</v>
      </c>
      <c r="L37" s="183" t="s">
        <v>1735</v>
      </c>
    </row>
    <row r="38" spans="1:20" ht="9.9499999999999993" customHeight="1" x14ac:dyDescent="0.2">
      <c r="A38" s="179">
        <v>33</v>
      </c>
      <c r="B38" s="201">
        <v>41225</v>
      </c>
      <c r="C38" s="196" t="s">
        <v>1736</v>
      </c>
      <c r="D38" s="202" t="s">
        <v>261</v>
      </c>
      <c r="E38" s="196" t="s">
        <v>1023</v>
      </c>
      <c r="F38" s="202" t="s">
        <v>268</v>
      </c>
      <c r="G38" s="202">
        <v>3</v>
      </c>
      <c r="H38" s="202">
        <v>4</v>
      </c>
      <c r="I38" s="205" t="s">
        <v>327</v>
      </c>
      <c r="J38" s="204">
        <v>1954</v>
      </c>
      <c r="K38" s="196" t="s">
        <v>1737</v>
      </c>
      <c r="L38" s="183" t="s">
        <v>1738</v>
      </c>
    </row>
    <row r="39" spans="1:20" ht="9.9499999999999993" customHeight="1" x14ac:dyDescent="0.2">
      <c r="A39" s="179">
        <v>34</v>
      </c>
      <c r="B39" s="201">
        <v>41771</v>
      </c>
      <c r="C39" s="196" t="s">
        <v>1739</v>
      </c>
      <c r="D39" s="202" t="s">
        <v>252</v>
      </c>
      <c r="E39" s="196" t="s">
        <v>1740</v>
      </c>
      <c r="F39" s="202" t="s">
        <v>268</v>
      </c>
      <c r="G39" s="202">
        <v>0</v>
      </c>
      <c r="H39" s="202">
        <v>1</v>
      </c>
      <c r="I39" s="205" t="s">
        <v>270</v>
      </c>
      <c r="J39" s="204">
        <v>5124</v>
      </c>
      <c r="K39" s="208">
        <v>50</v>
      </c>
      <c r="L39" s="183" t="s">
        <v>1741</v>
      </c>
    </row>
    <row r="40" spans="1:20" ht="9.9499999999999993" customHeight="1" x14ac:dyDescent="0.2">
      <c r="A40" s="179">
        <v>35</v>
      </c>
      <c r="B40" s="201">
        <v>41775</v>
      </c>
      <c r="C40" s="196" t="s">
        <v>1742</v>
      </c>
      <c r="D40" s="202" t="s">
        <v>261</v>
      </c>
      <c r="E40" s="196" t="s">
        <v>1723</v>
      </c>
      <c r="F40" s="202" t="s">
        <v>254</v>
      </c>
      <c r="G40" s="202">
        <v>0</v>
      </c>
      <c r="H40" s="202">
        <v>0</v>
      </c>
      <c r="I40" s="205" t="s">
        <v>270</v>
      </c>
      <c r="J40" s="204">
        <v>5194</v>
      </c>
      <c r="K40" s="208" t="s">
        <v>1712</v>
      </c>
      <c r="L40" s="183" t="s">
        <v>1743</v>
      </c>
    </row>
    <row r="41" spans="1:20" ht="9.9499999999999993" customHeight="1" x14ac:dyDescent="0.2">
      <c r="A41" s="179">
        <v>36</v>
      </c>
      <c r="B41" s="201">
        <v>42588</v>
      </c>
      <c r="C41" s="196" t="s">
        <v>1744</v>
      </c>
      <c r="D41" s="202" t="s">
        <v>261</v>
      </c>
      <c r="E41" s="196" t="s">
        <v>1745</v>
      </c>
      <c r="F41" s="202" t="s">
        <v>254</v>
      </c>
      <c r="G41" s="202">
        <v>1</v>
      </c>
      <c r="H41" s="202">
        <v>1</v>
      </c>
      <c r="I41" s="205" t="s">
        <v>255</v>
      </c>
      <c r="J41" s="204">
        <v>2495</v>
      </c>
      <c r="K41" s="179" t="s">
        <v>1746</v>
      </c>
      <c r="L41" s="183" t="s">
        <v>1747</v>
      </c>
    </row>
    <row r="42" spans="1:20" ht="9.9499999999999993" customHeight="1" x14ac:dyDescent="0.2">
      <c r="A42" s="179">
        <v>37</v>
      </c>
      <c r="B42" s="201">
        <v>42854</v>
      </c>
      <c r="C42" s="196" t="s">
        <v>1744</v>
      </c>
      <c r="D42" s="202" t="s">
        <v>252</v>
      </c>
      <c r="E42" s="196" t="s">
        <v>1748</v>
      </c>
      <c r="F42" s="202" t="s">
        <v>254</v>
      </c>
      <c r="G42" s="202">
        <v>2</v>
      </c>
      <c r="H42" s="202">
        <v>2</v>
      </c>
      <c r="I42" s="205" t="s">
        <v>975</v>
      </c>
      <c r="J42" s="204">
        <v>3984</v>
      </c>
      <c r="K42" s="179" t="s">
        <v>1749</v>
      </c>
      <c r="L42" s="183" t="s">
        <v>1747</v>
      </c>
    </row>
    <row r="43" spans="1:20" ht="9.9499999999999993" customHeight="1" x14ac:dyDescent="0.2">
      <c r="A43" s="179">
        <v>38</v>
      </c>
      <c r="B43" s="201">
        <v>42876</v>
      </c>
      <c r="C43" s="196" t="s">
        <v>1750</v>
      </c>
      <c r="D43" s="202" t="s">
        <v>747</v>
      </c>
      <c r="E43" s="196" t="s">
        <v>414</v>
      </c>
      <c r="F43" s="202" t="s">
        <v>281</v>
      </c>
      <c r="G43" s="202">
        <v>3</v>
      </c>
      <c r="H43" s="202">
        <v>2</v>
      </c>
      <c r="I43" s="205" t="s">
        <v>1090</v>
      </c>
      <c r="J43" s="204">
        <v>38244</v>
      </c>
      <c r="K43" s="179" t="s">
        <v>1751</v>
      </c>
      <c r="L43" s="183" t="s">
        <v>1747</v>
      </c>
    </row>
    <row r="44" spans="1:20" ht="9.9499999999999993" customHeight="1" x14ac:dyDescent="0.25">
      <c r="A44" s="179">
        <v>39</v>
      </c>
      <c r="B44" s="201">
        <v>43729</v>
      </c>
      <c r="C44" s="196" t="s">
        <v>1752</v>
      </c>
      <c r="D44" s="202" t="s">
        <v>261</v>
      </c>
      <c r="E44" s="196" t="s">
        <v>1156</v>
      </c>
      <c r="F44" s="202" t="s">
        <v>281</v>
      </c>
      <c r="G44" s="202">
        <v>2</v>
      </c>
      <c r="H44" s="202">
        <v>0</v>
      </c>
      <c r="I44" s="205" t="s">
        <v>359</v>
      </c>
      <c r="J44" s="204">
        <v>798</v>
      </c>
      <c r="K44" s="179" t="s">
        <v>1753</v>
      </c>
      <c r="L44" s="183" t="s">
        <v>1754</v>
      </c>
      <c r="M44" s="183" t="s">
        <v>1680</v>
      </c>
    </row>
    <row r="45" spans="1:20" ht="9.9499999999999993" customHeight="1" x14ac:dyDescent="0.2">
      <c r="A45" s="179">
        <v>40</v>
      </c>
      <c r="B45" s="201">
        <v>43757</v>
      </c>
      <c r="C45" s="196" t="s">
        <v>1755</v>
      </c>
      <c r="D45" s="202" t="s">
        <v>252</v>
      </c>
      <c r="E45" s="196" t="s">
        <v>1160</v>
      </c>
      <c r="F45" s="202" t="s">
        <v>281</v>
      </c>
      <c r="G45" s="202">
        <v>2</v>
      </c>
      <c r="H45" s="202">
        <v>0</v>
      </c>
      <c r="I45" s="205" t="s">
        <v>359</v>
      </c>
      <c r="J45" s="204">
        <v>2870</v>
      </c>
      <c r="K45" s="206" t="s">
        <v>1756</v>
      </c>
      <c r="L45" s="207" t="s">
        <v>1757</v>
      </c>
      <c r="O45" s="196"/>
      <c r="P45" s="196"/>
      <c r="Q45" s="196"/>
      <c r="R45" s="196"/>
      <c r="S45" s="196"/>
      <c r="T45" s="196"/>
    </row>
    <row r="46" spans="1:20" ht="9.9499999999999993" customHeight="1" x14ac:dyDescent="0.2">
      <c r="A46" s="179">
        <v>41</v>
      </c>
      <c r="B46" s="201">
        <v>44037</v>
      </c>
      <c r="C46" s="196" t="s">
        <v>1758</v>
      </c>
      <c r="D46" s="202" t="s">
        <v>252</v>
      </c>
      <c r="E46" s="196" t="s">
        <v>1311</v>
      </c>
      <c r="F46" s="202" t="s">
        <v>268</v>
      </c>
      <c r="G46" s="202">
        <v>0</v>
      </c>
      <c r="H46" s="202">
        <v>2</v>
      </c>
      <c r="I46" s="205" t="s">
        <v>255</v>
      </c>
      <c r="J46" s="204">
        <v>0</v>
      </c>
      <c r="K46" s="208" t="s">
        <v>1759</v>
      </c>
      <c r="L46" s="207" t="s">
        <v>1760</v>
      </c>
      <c r="O46" s="196"/>
      <c r="P46" s="196"/>
      <c r="Q46" s="196"/>
      <c r="R46" s="196"/>
      <c r="S46" s="196"/>
      <c r="T46" s="196"/>
    </row>
    <row r="47" spans="1:20" ht="9.9499999999999993" customHeight="1" x14ac:dyDescent="0.2">
      <c r="A47" s="179">
        <v>42</v>
      </c>
      <c r="B47" s="201">
        <v>44100</v>
      </c>
      <c r="C47" s="196" t="s">
        <v>1681</v>
      </c>
      <c r="D47" s="202" t="s">
        <v>261</v>
      </c>
      <c r="E47" s="196" t="s">
        <v>1761</v>
      </c>
      <c r="F47" s="202" t="s">
        <v>281</v>
      </c>
      <c r="G47" s="202">
        <v>3</v>
      </c>
      <c r="H47" s="202">
        <v>0</v>
      </c>
      <c r="I47" s="205" t="s">
        <v>1161</v>
      </c>
      <c r="J47" s="204">
        <v>0</v>
      </c>
      <c r="K47" s="206" t="s">
        <v>1762</v>
      </c>
      <c r="L47" s="207" t="s">
        <v>1763</v>
      </c>
      <c r="M47" s="183" t="s">
        <v>368</v>
      </c>
      <c r="O47" s="196"/>
      <c r="P47" s="196"/>
      <c r="Q47" s="196"/>
      <c r="R47" s="196"/>
      <c r="S47" s="196"/>
      <c r="T47" s="196"/>
    </row>
    <row r="48" spans="1:20" ht="9.9499999999999993" customHeight="1" x14ac:dyDescent="0.2">
      <c r="A48" s="179">
        <v>43</v>
      </c>
      <c r="B48" s="201">
        <v>44107</v>
      </c>
      <c r="C48" s="196" t="s">
        <v>1155</v>
      </c>
      <c r="D48" s="202" t="s">
        <v>261</v>
      </c>
      <c r="E48" s="196" t="s">
        <v>1174</v>
      </c>
      <c r="F48" s="202" t="s">
        <v>281</v>
      </c>
      <c r="G48" s="202">
        <v>1</v>
      </c>
      <c r="H48" s="202">
        <v>0</v>
      </c>
      <c r="I48" s="205" t="s">
        <v>359</v>
      </c>
      <c r="J48" s="204">
        <v>300</v>
      </c>
      <c r="K48" s="209" t="s">
        <v>1764</v>
      </c>
      <c r="L48" s="183" t="s">
        <v>1754</v>
      </c>
      <c r="M48" s="183" t="s">
        <v>368</v>
      </c>
      <c r="O48" s="196"/>
      <c r="P48" s="196"/>
      <c r="Q48" s="196"/>
      <c r="R48" s="196"/>
      <c r="S48" s="196"/>
      <c r="T48" s="196"/>
    </row>
    <row r="49" spans="1:20" ht="9.9499999999999993" customHeight="1" x14ac:dyDescent="0.2">
      <c r="A49" s="179">
        <v>44</v>
      </c>
      <c r="B49" s="201">
        <v>44790</v>
      </c>
      <c r="C49" s="196" t="s">
        <v>1765</v>
      </c>
      <c r="D49" s="202" t="s">
        <v>261</v>
      </c>
      <c r="E49" s="196" t="s">
        <v>1438</v>
      </c>
      <c r="F49" s="202" t="s">
        <v>254</v>
      </c>
      <c r="G49" s="202">
        <v>1</v>
      </c>
      <c r="H49" s="202">
        <v>1</v>
      </c>
      <c r="I49" s="205" t="s">
        <v>270</v>
      </c>
      <c r="J49" s="204">
        <v>1125</v>
      </c>
      <c r="K49" s="208" t="s">
        <v>1766</v>
      </c>
      <c r="L49" s="183" t="s">
        <v>1767</v>
      </c>
      <c r="M49" s="183" t="s">
        <v>368</v>
      </c>
      <c r="O49" s="196"/>
      <c r="P49" s="196"/>
      <c r="Q49" s="196"/>
      <c r="R49" s="196"/>
      <c r="S49" s="196"/>
      <c r="T49" s="196"/>
    </row>
    <row r="50" spans="1:20" ht="9.9499999999999993" customHeight="1" x14ac:dyDescent="0.2">
      <c r="A50" s="179">
        <v>45</v>
      </c>
      <c r="B50" s="201">
        <v>44877</v>
      </c>
      <c r="C50" s="196" t="s">
        <v>1765</v>
      </c>
      <c r="D50" s="202" t="s">
        <v>261</v>
      </c>
      <c r="E50" s="196" t="s">
        <v>562</v>
      </c>
      <c r="F50" s="202" t="s">
        <v>268</v>
      </c>
      <c r="G50" s="202">
        <v>1</v>
      </c>
      <c r="H50" s="202">
        <v>2</v>
      </c>
      <c r="I50" s="205" t="s">
        <v>359</v>
      </c>
      <c r="J50" s="204">
        <v>2371</v>
      </c>
      <c r="K50" s="208" t="s">
        <v>1768</v>
      </c>
      <c r="L50" s="183" t="s">
        <v>1767</v>
      </c>
      <c r="M50" s="183" t="s">
        <v>368</v>
      </c>
    </row>
    <row r="51" spans="1:20" ht="9.9499999999999993" customHeight="1" x14ac:dyDescent="0.2">
      <c r="A51" s="179">
        <v>46</v>
      </c>
      <c r="B51" s="201">
        <v>44898</v>
      </c>
      <c r="C51" s="196" t="s">
        <v>1765</v>
      </c>
      <c r="D51" s="202" t="s">
        <v>252</v>
      </c>
      <c r="E51" s="196" t="s">
        <v>364</v>
      </c>
      <c r="F51" s="202" t="s">
        <v>254</v>
      </c>
      <c r="G51" s="202">
        <v>1</v>
      </c>
      <c r="H51" s="202">
        <v>1</v>
      </c>
      <c r="I51" s="205" t="s">
        <v>270</v>
      </c>
      <c r="J51" s="204">
        <v>7145</v>
      </c>
      <c r="K51" s="182" t="s">
        <v>1769</v>
      </c>
      <c r="L51" s="183" t="s">
        <v>1767</v>
      </c>
      <c r="M51" s="183" t="s">
        <v>368</v>
      </c>
    </row>
    <row r="52" spans="1:20" s="211" customFormat="1" ht="11.25" customHeight="1" x14ac:dyDescent="0.2">
      <c r="A52" s="210">
        <v>47</v>
      </c>
      <c r="B52" s="201">
        <v>45192</v>
      </c>
      <c r="C52" s="196" t="s">
        <v>1765</v>
      </c>
      <c r="D52" s="202" t="s">
        <v>261</v>
      </c>
      <c r="E52" s="196" t="s">
        <v>1400</v>
      </c>
      <c r="F52" s="202" t="s">
        <v>281</v>
      </c>
      <c r="G52" s="202">
        <v>2</v>
      </c>
      <c r="H52" s="202">
        <v>1</v>
      </c>
      <c r="I52" s="202" t="s">
        <v>359</v>
      </c>
      <c r="J52" s="204">
        <v>2806</v>
      </c>
      <c r="K52" s="182" t="s">
        <v>1770</v>
      </c>
      <c r="L52" s="183" t="s">
        <v>1771</v>
      </c>
      <c r="N52" s="212"/>
      <c r="O52" s="212"/>
      <c r="P52" s="212"/>
      <c r="Q52" s="212"/>
      <c r="R52" s="212"/>
      <c r="S52" s="212"/>
    </row>
    <row r="53" spans="1:20" s="211" customFormat="1" ht="11.25" customHeight="1" x14ac:dyDescent="0.25">
      <c r="A53" s="210">
        <v>48</v>
      </c>
      <c r="B53" s="201">
        <v>45227</v>
      </c>
      <c r="C53" s="196" t="s">
        <v>1765</v>
      </c>
      <c r="D53" s="202" t="s">
        <v>252</v>
      </c>
      <c r="E53" s="212" t="s">
        <v>1772</v>
      </c>
      <c r="F53" s="213" t="s">
        <v>254</v>
      </c>
      <c r="G53" s="213">
        <v>1</v>
      </c>
      <c r="H53" s="213">
        <v>1</v>
      </c>
      <c r="I53" s="213" t="s">
        <v>270</v>
      </c>
      <c r="J53" s="214">
        <v>4740</v>
      </c>
      <c r="K53" s="215" t="s">
        <v>1773</v>
      </c>
      <c r="L53" s="183" t="s">
        <v>1771</v>
      </c>
      <c r="N53" s="212"/>
      <c r="O53" s="212"/>
      <c r="P53" s="212"/>
      <c r="Q53" s="212"/>
      <c r="R53" s="212"/>
      <c r="S53" s="212"/>
    </row>
    <row r="54" spans="1:20" s="211" customFormat="1" x14ac:dyDescent="0.2">
      <c r="A54" s="210">
        <v>49</v>
      </c>
      <c r="B54" s="201">
        <v>45261</v>
      </c>
      <c r="C54" s="196" t="s">
        <v>251</v>
      </c>
      <c r="D54" s="202" t="s">
        <v>252</v>
      </c>
      <c r="E54" s="196" t="s">
        <v>1774</v>
      </c>
      <c r="F54" s="202" t="s">
        <v>268</v>
      </c>
      <c r="G54" s="202">
        <v>0</v>
      </c>
      <c r="H54" s="202">
        <v>1</v>
      </c>
      <c r="I54" s="202" t="s">
        <v>270</v>
      </c>
      <c r="J54" s="204">
        <v>6613</v>
      </c>
      <c r="K54" s="206" t="s">
        <v>1775</v>
      </c>
      <c r="L54" s="183" t="s">
        <v>1776</v>
      </c>
      <c r="N54" s="212"/>
      <c r="O54" s="212"/>
      <c r="P54" s="212"/>
      <c r="Q54" s="212"/>
      <c r="R54" s="212"/>
      <c r="S54" s="212"/>
    </row>
    <row r="55" spans="1:20" s="211" customFormat="1" x14ac:dyDescent="0.2">
      <c r="A55" s="210">
        <v>50</v>
      </c>
      <c r="B55" s="201">
        <v>45299</v>
      </c>
      <c r="C55" s="196" t="s">
        <v>1765</v>
      </c>
      <c r="D55" s="202" t="s">
        <v>261</v>
      </c>
      <c r="E55" s="196" t="s">
        <v>1777</v>
      </c>
      <c r="F55" s="202" t="s">
        <v>254</v>
      </c>
      <c r="G55" s="202">
        <v>1</v>
      </c>
      <c r="H55" s="202">
        <v>1</v>
      </c>
      <c r="I55" s="202" t="s">
        <v>270</v>
      </c>
      <c r="J55" s="204">
        <v>1367</v>
      </c>
      <c r="K55" s="206" t="s">
        <v>1891</v>
      </c>
      <c r="L55" s="183" t="s">
        <v>1771</v>
      </c>
      <c r="N55" s="212"/>
      <c r="O55" s="212"/>
      <c r="P55" s="212"/>
      <c r="Q55" s="212"/>
      <c r="R55" s="212"/>
      <c r="S55" s="212"/>
    </row>
    <row r="56" spans="1:20" s="211" customFormat="1" x14ac:dyDescent="0.2">
      <c r="A56" s="210">
        <v>51</v>
      </c>
      <c r="B56" s="201">
        <v>45570</v>
      </c>
      <c r="C56" s="196" t="s">
        <v>1765</v>
      </c>
      <c r="D56" s="202" t="s">
        <v>261</v>
      </c>
      <c r="E56" s="196" t="s">
        <v>1400</v>
      </c>
      <c r="F56" s="202" t="s">
        <v>254</v>
      </c>
      <c r="G56" s="202">
        <v>1</v>
      </c>
      <c r="H56" s="202">
        <v>1</v>
      </c>
      <c r="I56" s="202" t="s">
        <v>270</v>
      </c>
      <c r="J56" s="204">
        <v>2361</v>
      </c>
      <c r="K56" s="231" t="s">
        <v>1892</v>
      </c>
      <c r="L56" s="183" t="s">
        <v>1894</v>
      </c>
      <c r="N56" s="212"/>
      <c r="O56" s="212"/>
      <c r="P56" s="212"/>
      <c r="Q56" s="212"/>
      <c r="R56" s="212"/>
      <c r="S56" s="212"/>
    </row>
    <row r="57" spans="1:20" s="211" customFormat="1" x14ac:dyDescent="0.2">
      <c r="A57" s="210">
        <v>52</v>
      </c>
      <c r="B57" s="201">
        <v>45612</v>
      </c>
      <c r="C57" s="196" t="s">
        <v>1765</v>
      </c>
      <c r="D57" s="202" t="s">
        <v>261</v>
      </c>
      <c r="E57" s="196" t="s">
        <v>1887</v>
      </c>
      <c r="F57" s="202" t="s">
        <v>268</v>
      </c>
      <c r="G57" s="202">
        <v>0</v>
      </c>
      <c r="H57" s="202">
        <v>2</v>
      </c>
      <c r="I57" s="202" t="s">
        <v>270</v>
      </c>
      <c r="J57" s="204">
        <v>2697</v>
      </c>
      <c r="K57" s="206" t="s">
        <v>1890</v>
      </c>
      <c r="L57" s="183" t="s">
        <v>1895</v>
      </c>
      <c r="M57" s="211" t="s">
        <v>1889</v>
      </c>
      <c r="N57" s="212"/>
      <c r="O57" s="212"/>
      <c r="P57" s="212"/>
      <c r="Q57" s="212"/>
      <c r="R57" s="212"/>
      <c r="S57" s="212"/>
    </row>
    <row r="58" spans="1:20" s="211" customFormat="1" x14ac:dyDescent="0.2">
      <c r="A58" s="210">
        <v>53</v>
      </c>
      <c r="B58" s="201">
        <v>45652</v>
      </c>
      <c r="C58" s="196" t="s">
        <v>1765</v>
      </c>
      <c r="D58" s="202" t="s">
        <v>261</v>
      </c>
      <c r="E58" s="196" t="s">
        <v>1893</v>
      </c>
      <c r="F58" s="202"/>
      <c r="G58" s="202" t="s">
        <v>1712</v>
      </c>
      <c r="H58" s="202" t="s">
        <v>1712</v>
      </c>
      <c r="I58" s="202" t="s">
        <v>1712</v>
      </c>
      <c r="J58" s="204" t="s">
        <v>1712</v>
      </c>
      <c r="K58" s="206" t="s">
        <v>1712</v>
      </c>
      <c r="L58" s="183" t="s">
        <v>1896</v>
      </c>
      <c r="N58" s="212"/>
      <c r="O58" s="212"/>
      <c r="P58" s="212"/>
      <c r="Q58" s="212"/>
      <c r="R58" s="212"/>
      <c r="S58" s="212"/>
    </row>
    <row r="59" spans="1:20" s="211" customFormat="1" x14ac:dyDescent="0.2">
      <c r="A59" s="210">
        <v>54</v>
      </c>
      <c r="B59" s="216">
        <v>45724</v>
      </c>
      <c r="C59" s="212" t="s">
        <v>1765</v>
      </c>
      <c r="D59" s="213" t="s">
        <v>252</v>
      </c>
      <c r="E59" s="212" t="s">
        <v>1091</v>
      </c>
      <c r="F59" s="213" t="s">
        <v>254</v>
      </c>
      <c r="G59" s="213">
        <v>1</v>
      </c>
      <c r="H59" s="213">
        <v>1</v>
      </c>
      <c r="I59" s="213" t="s">
        <v>270</v>
      </c>
      <c r="J59" s="214">
        <v>6810</v>
      </c>
      <c r="K59" s="215" t="s">
        <v>1901</v>
      </c>
      <c r="L59" s="211" t="s">
        <v>1888</v>
      </c>
      <c r="M59" s="2" t="s">
        <v>368</v>
      </c>
      <c r="N59" s="212"/>
      <c r="O59" s="212"/>
      <c r="P59" s="212"/>
      <c r="Q59" s="212"/>
      <c r="R59" s="212"/>
      <c r="S59" s="212"/>
    </row>
    <row r="60" spans="1:20" ht="9.75" customHeight="1" x14ac:dyDescent="0.2">
      <c r="A60" s="179">
        <v>55</v>
      </c>
      <c r="B60" s="201"/>
      <c r="C60" s="196"/>
      <c r="D60" s="202"/>
      <c r="E60" s="196"/>
      <c r="F60" s="202"/>
      <c r="G60" s="202"/>
      <c r="H60" s="202"/>
      <c r="I60" s="205"/>
      <c r="J60" s="204"/>
      <c r="K60" s="179"/>
    </row>
    <row r="61" spans="1:20" ht="9.9499999999999993" customHeight="1" x14ac:dyDescent="0.2">
      <c r="A61" s="179"/>
      <c r="B61" s="201"/>
      <c r="C61" s="196"/>
      <c r="D61" s="202"/>
      <c r="E61" s="196"/>
      <c r="F61" s="202"/>
      <c r="G61" s="202"/>
      <c r="H61" s="202"/>
      <c r="I61" s="205"/>
      <c r="J61" s="204"/>
      <c r="K61" s="179"/>
    </row>
    <row r="62" spans="1:20" ht="9.9499999999999993" customHeight="1" x14ac:dyDescent="0.2">
      <c r="A62" s="179"/>
      <c r="B62" s="201"/>
      <c r="C62" s="196"/>
      <c r="D62" s="202"/>
      <c r="E62" s="196"/>
      <c r="F62" s="202"/>
      <c r="G62" s="202"/>
      <c r="H62" s="202"/>
      <c r="I62" s="205"/>
      <c r="J62" s="204"/>
      <c r="K62" s="179"/>
    </row>
    <row r="63" spans="1:20" ht="9.9499999999999993" customHeight="1" x14ac:dyDescent="0.2">
      <c r="A63" s="179"/>
      <c r="B63" s="201"/>
      <c r="C63" s="196"/>
      <c r="D63" s="202"/>
      <c r="E63" s="196"/>
      <c r="F63" s="202"/>
      <c r="G63" s="202"/>
      <c r="H63" s="202"/>
      <c r="I63" s="205"/>
      <c r="J63" s="204"/>
      <c r="K63" s="179"/>
    </row>
    <row r="64" spans="1:20" ht="9.9499999999999993" customHeight="1" x14ac:dyDescent="0.2">
      <c r="A64" s="179"/>
      <c r="B64" s="201"/>
      <c r="C64" s="196"/>
      <c r="D64" s="202"/>
      <c r="E64" s="196"/>
      <c r="F64" s="202"/>
      <c r="G64" s="202"/>
      <c r="H64" s="202"/>
      <c r="I64" s="205"/>
      <c r="J64" s="204"/>
      <c r="K64" s="179"/>
    </row>
    <row r="65" spans="1:12" ht="9.9499999999999993" customHeight="1" x14ac:dyDescent="0.2">
      <c r="A65" s="179"/>
      <c r="B65" s="201"/>
      <c r="C65" s="196"/>
      <c r="D65" s="202"/>
      <c r="E65" s="196"/>
      <c r="F65" s="202">
        <f>SUM(F66:F69)</f>
        <v>56</v>
      </c>
      <c r="G65" s="202" t="s">
        <v>356</v>
      </c>
      <c r="H65" s="202"/>
      <c r="I65" s="205"/>
      <c r="J65" s="204"/>
      <c r="K65" s="179"/>
    </row>
    <row r="66" spans="1:12" ht="9.9499999999999993" customHeight="1" x14ac:dyDescent="0.2">
      <c r="A66" s="179"/>
      <c r="B66" s="201"/>
      <c r="C66" s="196"/>
      <c r="D66" s="202"/>
      <c r="E66" s="196"/>
      <c r="F66" s="202">
        <f>COUNTIF(F$2:F$64,G66)</f>
        <v>14</v>
      </c>
      <c r="G66" s="202" t="s">
        <v>281</v>
      </c>
      <c r="H66" s="202"/>
      <c r="I66" s="205"/>
      <c r="J66" s="204"/>
      <c r="K66" s="179"/>
    </row>
    <row r="67" spans="1:12" ht="9.9499999999999993" customHeight="1" x14ac:dyDescent="0.2">
      <c r="A67" s="179"/>
      <c r="B67" s="201"/>
      <c r="C67" s="196"/>
      <c r="D67" s="202"/>
      <c r="E67" s="196"/>
      <c r="F67" s="202">
        <f t="shared" ref="F67:F69" si="0">COUNTIF(F$2:F$64,G67)</f>
        <v>21</v>
      </c>
      <c r="G67" s="202" t="s">
        <v>254</v>
      </c>
      <c r="H67" s="202"/>
      <c r="I67" s="205"/>
      <c r="J67" s="204"/>
      <c r="K67" s="179"/>
    </row>
    <row r="68" spans="1:12" ht="9.9499999999999993" customHeight="1" x14ac:dyDescent="0.2">
      <c r="A68" s="179"/>
      <c r="B68" s="201"/>
      <c r="C68" s="196"/>
      <c r="D68" s="202"/>
      <c r="E68" s="196"/>
      <c r="F68" s="202">
        <f t="shared" si="0"/>
        <v>19</v>
      </c>
      <c r="G68" s="202" t="s">
        <v>268</v>
      </c>
      <c r="H68" s="202"/>
      <c r="I68" s="205"/>
      <c r="J68" s="204"/>
      <c r="K68" s="179"/>
    </row>
    <row r="69" spans="1:12" ht="9.9499999999999993" customHeight="1" x14ac:dyDescent="0.2">
      <c r="A69" s="179"/>
      <c r="B69" s="201"/>
      <c r="C69" s="196"/>
      <c r="D69" s="202"/>
      <c r="E69" s="196"/>
      <c r="F69" s="202">
        <f t="shared" si="0"/>
        <v>2</v>
      </c>
      <c r="G69" s="202" t="s">
        <v>356</v>
      </c>
      <c r="H69" s="202"/>
      <c r="I69" s="205"/>
      <c r="J69" s="204"/>
      <c r="K69" s="179"/>
    </row>
    <row r="70" spans="1:12" ht="9.9499999999999993" customHeight="1" x14ac:dyDescent="0.2">
      <c r="A70" s="179"/>
      <c r="D70" s="217"/>
      <c r="K70" s="179"/>
    </row>
    <row r="71" spans="1:12" ht="9.9499999999999993" customHeight="1" x14ac:dyDescent="0.2">
      <c r="A71" s="179"/>
      <c r="B71" s="219" t="s">
        <v>290</v>
      </c>
      <c r="D71" s="217"/>
    </row>
    <row r="72" spans="1:12" ht="9.9499999999999993" customHeight="1" x14ac:dyDescent="0.2">
      <c r="A72" s="179"/>
      <c r="D72" s="217"/>
    </row>
    <row r="73" spans="1:12" ht="9.9499999999999993" customHeight="1" x14ac:dyDescent="0.2">
      <c r="A73" s="179"/>
      <c r="B73" s="220">
        <v>26971</v>
      </c>
      <c r="C73" s="198" t="s">
        <v>288</v>
      </c>
      <c r="D73" s="221" t="s">
        <v>261</v>
      </c>
      <c r="E73" s="222" t="s">
        <v>1779</v>
      </c>
      <c r="F73" s="199" t="s">
        <v>254</v>
      </c>
      <c r="G73" s="199">
        <v>0</v>
      </c>
      <c r="H73" s="199">
        <v>0</v>
      </c>
      <c r="I73" s="198"/>
      <c r="J73" s="200">
        <v>16017</v>
      </c>
      <c r="L73" s="183" t="s">
        <v>1780</v>
      </c>
    </row>
    <row r="74" spans="1:12" ht="9.9499999999999993" customHeight="1" x14ac:dyDescent="0.2">
      <c r="A74" s="179"/>
      <c r="B74" s="223">
        <v>27125</v>
      </c>
      <c r="C74" s="183" t="s">
        <v>288</v>
      </c>
      <c r="D74" s="217" t="s">
        <v>261</v>
      </c>
      <c r="E74" s="224" t="s">
        <v>780</v>
      </c>
      <c r="F74" s="218" t="s">
        <v>254</v>
      </c>
      <c r="G74" s="218">
        <v>0</v>
      </c>
      <c r="H74" s="218">
        <v>0</v>
      </c>
      <c r="J74" s="225">
        <v>7866</v>
      </c>
      <c r="L74" s="207" t="s">
        <v>345</v>
      </c>
    </row>
    <row r="75" spans="1:12" ht="9.9499999999999993" customHeight="1" x14ac:dyDescent="0.2">
      <c r="A75" s="179"/>
      <c r="B75" s="223">
        <v>27384</v>
      </c>
      <c r="C75" s="183" t="s">
        <v>336</v>
      </c>
      <c r="D75" s="217" t="s">
        <v>252</v>
      </c>
      <c r="E75" s="224" t="s">
        <v>1781</v>
      </c>
      <c r="F75" s="218" t="s">
        <v>268</v>
      </c>
      <c r="G75" s="218">
        <v>0</v>
      </c>
      <c r="H75" s="218">
        <v>1</v>
      </c>
      <c r="J75" s="225">
        <v>15314</v>
      </c>
      <c r="L75" s="183" t="s">
        <v>1782</v>
      </c>
    </row>
    <row r="76" spans="1:12" ht="9.9499999999999993" customHeight="1" x14ac:dyDescent="0.2">
      <c r="A76" s="179"/>
      <c r="B76" s="223">
        <v>27720</v>
      </c>
      <c r="C76" s="183" t="s">
        <v>1783</v>
      </c>
      <c r="D76" s="217" t="s">
        <v>261</v>
      </c>
      <c r="E76" s="224" t="s">
        <v>1784</v>
      </c>
      <c r="F76" s="218" t="s">
        <v>268</v>
      </c>
      <c r="G76" s="218">
        <v>1</v>
      </c>
      <c r="H76" s="218">
        <v>4</v>
      </c>
      <c r="J76" s="225">
        <v>11228</v>
      </c>
      <c r="L76" s="183" t="s">
        <v>1785</v>
      </c>
    </row>
    <row r="77" spans="1:12" ht="9.9499999999999993" customHeight="1" x14ac:dyDescent="0.2">
      <c r="A77" s="179"/>
      <c r="B77" s="220">
        <v>28021</v>
      </c>
      <c r="C77" s="198" t="s">
        <v>288</v>
      </c>
      <c r="D77" s="199" t="s">
        <v>261</v>
      </c>
      <c r="E77" s="198" t="s">
        <v>277</v>
      </c>
      <c r="F77" s="199" t="s">
        <v>268</v>
      </c>
      <c r="G77" s="199">
        <v>2</v>
      </c>
      <c r="H77" s="199">
        <v>7</v>
      </c>
      <c r="I77" s="199"/>
      <c r="J77" s="200">
        <v>15605</v>
      </c>
      <c r="K77" s="198" t="s">
        <v>278</v>
      </c>
      <c r="L77" s="207" t="s">
        <v>345</v>
      </c>
    </row>
    <row r="78" spans="1:12" ht="9.9499999999999993" customHeight="1" x14ac:dyDescent="0.2">
      <c r="A78" s="179"/>
      <c r="B78" s="226">
        <v>28864</v>
      </c>
      <c r="C78" s="190" t="s">
        <v>279</v>
      </c>
      <c r="D78" s="191" t="s">
        <v>252</v>
      </c>
      <c r="E78" s="192" t="s">
        <v>280</v>
      </c>
      <c r="F78" s="191" t="s">
        <v>281</v>
      </c>
      <c r="G78" s="191">
        <v>2</v>
      </c>
      <c r="H78" s="191">
        <v>0</v>
      </c>
      <c r="I78" s="191"/>
      <c r="J78" s="193">
        <v>6730</v>
      </c>
      <c r="K78" s="192" t="s">
        <v>282</v>
      </c>
      <c r="L78" s="183" t="s">
        <v>1786</v>
      </c>
    </row>
    <row r="79" spans="1:12" ht="9.9499999999999993" customHeight="1" x14ac:dyDescent="0.2">
      <c r="A79" s="179"/>
      <c r="B79" s="220">
        <v>30716</v>
      </c>
      <c r="C79" s="198" t="s">
        <v>287</v>
      </c>
      <c r="D79" s="199" t="s">
        <v>261</v>
      </c>
      <c r="E79" s="198" t="s">
        <v>286</v>
      </c>
      <c r="F79" s="199" t="s">
        <v>268</v>
      </c>
      <c r="G79" s="199">
        <v>0</v>
      </c>
      <c r="H79" s="199">
        <v>3</v>
      </c>
      <c r="I79" s="199"/>
      <c r="J79" s="200">
        <v>6010</v>
      </c>
      <c r="L79" s="183" t="s">
        <v>1787</v>
      </c>
    </row>
    <row r="80" spans="1:12" ht="9.9499999999999993" customHeight="1" x14ac:dyDescent="0.2">
      <c r="B80" s="226">
        <v>31073</v>
      </c>
      <c r="C80" s="190" t="s">
        <v>283</v>
      </c>
      <c r="D80" s="191" t="s">
        <v>252</v>
      </c>
      <c r="E80" s="192" t="s">
        <v>284</v>
      </c>
      <c r="F80" s="191" t="s">
        <v>281</v>
      </c>
      <c r="G80" s="191">
        <v>1</v>
      </c>
      <c r="H80" s="191">
        <v>0</v>
      </c>
      <c r="I80" s="191"/>
      <c r="J80" s="193">
        <v>10840</v>
      </c>
      <c r="K80" s="192" t="s">
        <v>285</v>
      </c>
      <c r="L80" s="183" t="s">
        <v>1788</v>
      </c>
    </row>
    <row r="81" spans="2:12" ht="9.9499999999999993" customHeight="1" x14ac:dyDescent="0.2">
      <c r="B81" s="223">
        <v>31094</v>
      </c>
      <c r="C81" s="183" t="s">
        <v>330</v>
      </c>
      <c r="D81" s="218" t="s">
        <v>252</v>
      </c>
      <c r="E81" s="183" t="s">
        <v>331</v>
      </c>
      <c r="F81" s="218" t="s">
        <v>254</v>
      </c>
      <c r="G81" s="218">
        <v>1</v>
      </c>
      <c r="H81" s="218">
        <v>1</v>
      </c>
      <c r="J81" s="225">
        <v>13485</v>
      </c>
      <c r="K81" s="183" t="s">
        <v>332</v>
      </c>
      <c r="L81" s="183" t="s">
        <v>1789</v>
      </c>
    </row>
    <row r="82" spans="2:12" ht="9.9499999999999993" customHeight="1" x14ac:dyDescent="0.2">
      <c r="B82" s="223">
        <v>31458</v>
      </c>
      <c r="C82" s="183" t="s">
        <v>330</v>
      </c>
      <c r="D82" s="218" t="s">
        <v>252</v>
      </c>
      <c r="E82" s="183" t="s">
        <v>331</v>
      </c>
      <c r="F82" s="218" t="s">
        <v>254</v>
      </c>
      <c r="G82" s="218">
        <v>1</v>
      </c>
      <c r="H82" s="218">
        <v>1</v>
      </c>
      <c r="J82" s="225">
        <v>12752</v>
      </c>
      <c r="K82" s="183" t="s">
        <v>333</v>
      </c>
      <c r="L82" s="183" t="s">
        <v>1789</v>
      </c>
    </row>
    <row r="83" spans="2:12" ht="9.9499999999999993" customHeight="1" x14ac:dyDescent="0.2">
      <c r="B83" s="223">
        <v>31692</v>
      </c>
      <c r="C83" s="183" t="s">
        <v>1790</v>
      </c>
      <c r="D83" s="218" t="s">
        <v>261</v>
      </c>
      <c r="E83" s="183" t="s">
        <v>1791</v>
      </c>
      <c r="F83" s="218" t="s">
        <v>268</v>
      </c>
      <c r="G83" s="218">
        <v>0</v>
      </c>
      <c r="H83" s="218">
        <v>3</v>
      </c>
      <c r="J83" s="225">
        <v>9927</v>
      </c>
      <c r="L83" s="183" t="s">
        <v>1792</v>
      </c>
    </row>
    <row r="84" spans="2:12" ht="9.9499999999999993" customHeight="1" x14ac:dyDescent="0.2">
      <c r="B84" s="223">
        <v>34286</v>
      </c>
      <c r="C84" s="183" t="s">
        <v>266</v>
      </c>
      <c r="D84" s="218" t="s">
        <v>261</v>
      </c>
      <c r="E84" s="183" t="s">
        <v>481</v>
      </c>
      <c r="F84" s="218" t="s">
        <v>254</v>
      </c>
      <c r="G84" s="183">
        <v>0</v>
      </c>
      <c r="H84" s="183">
        <v>0</v>
      </c>
      <c r="J84" s="225">
        <v>10199</v>
      </c>
      <c r="L84" s="183" t="s">
        <v>1793</v>
      </c>
    </row>
    <row r="85" spans="2:12" ht="9.9499999999999993" customHeight="1" x14ac:dyDescent="0.2">
      <c r="B85" s="223">
        <v>43779</v>
      </c>
      <c r="C85" s="183" t="s">
        <v>266</v>
      </c>
      <c r="D85" s="218" t="s">
        <v>252</v>
      </c>
      <c r="E85" s="183" t="s">
        <v>1311</v>
      </c>
      <c r="F85" s="218" t="s">
        <v>268</v>
      </c>
      <c r="G85" s="183">
        <v>0</v>
      </c>
      <c r="H85" s="183">
        <v>1</v>
      </c>
      <c r="J85" s="225">
        <v>3222</v>
      </c>
      <c r="K85" s="208">
        <v>82</v>
      </c>
      <c r="L85" s="183" t="s">
        <v>1794</v>
      </c>
    </row>
    <row r="86" spans="2:12" ht="9.9499999999999993" customHeight="1" x14ac:dyDescent="0.2">
      <c r="B86" s="223"/>
      <c r="E86" s="183"/>
      <c r="F86" s="218"/>
    </row>
    <row r="87" spans="2:12" x14ac:dyDescent="0.2">
      <c r="E87" s="183"/>
    </row>
    <row r="88" spans="2:12" x14ac:dyDescent="0.2">
      <c r="B88" s="227" t="s">
        <v>1795</v>
      </c>
      <c r="E88" s="183"/>
    </row>
    <row r="89" spans="2:12" x14ac:dyDescent="0.2">
      <c r="E89" s="183"/>
    </row>
    <row r="90" spans="2:12" x14ac:dyDescent="0.2">
      <c r="B90" s="183" t="s">
        <v>1796</v>
      </c>
      <c r="E90" s="183"/>
    </row>
    <row r="91" spans="2:12" x14ac:dyDescent="0.2">
      <c r="B91" s="183" t="s">
        <v>1797</v>
      </c>
      <c r="E91" s="183"/>
    </row>
    <row r="92" spans="2:12" x14ac:dyDescent="0.2">
      <c r="B92" s="183" t="s">
        <v>1798</v>
      </c>
      <c r="E92" s="183"/>
    </row>
    <row r="93" spans="2:12" x14ac:dyDescent="0.2">
      <c r="B93" s="183" t="s">
        <v>1799</v>
      </c>
      <c r="E93" s="183"/>
    </row>
    <row r="94" spans="2:12" x14ac:dyDescent="0.2">
      <c r="B94" s="183" t="s">
        <v>1800</v>
      </c>
      <c r="E94" s="183"/>
    </row>
    <row r="95" spans="2:12" x14ac:dyDescent="0.2">
      <c r="B95" s="183" t="s">
        <v>1801</v>
      </c>
      <c r="E95" s="183"/>
    </row>
    <row r="96" spans="2:12" x14ac:dyDescent="0.2">
      <c r="B96" s="183" t="s">
        <v>1802</v>
      </c>
      <c r="E96" s="183"/>
    </row>
    <row r="97" spans="2:12" x14ac:dyDescent="0.2">
      <c r="E97" s="183"/>
    </row>
    <row r="98" spans="2:12" x14ac:dyDescent="0.2">
      <c r="B98" s="228">
        <v>25592</v>
      </c>
      <c r="C98" s="183" t="s">
        <v>1803</v>
      </c>
      <c r="E98" s="183" t="s">
        <v>1804</v>
      </c>
      <c r="F98" s="183" t="s">
        <v>261</v>
      </c>
      <c r="G98" s="183">
        <v>1</v>
      </c>
      <c r="H98" s="183">
        <v>4</v>
      </c>
      <c r="J98" s="225">
        <v>38283</v>
      </c>
      <c r="K98" s="183" t="s">
        <v>1805</v>
      </c>
      <c r="L98" s="183" t="s">
        <v>1806</v>
      </c>
    </row>
    <row r="99" spans="2:12" x14ac:dyDescent="0.2">
      <c r="B99" s="228">
        <v>25956</v>
      </c>
      <c r="C99" s="183" t="s">
        <v>283</v>
      </c>
      <c r="E99" s="183" t="s">
        <v>635</v>
      </c>
      <c r="F99" s="183" t="s">
        <v>252</v>
      </c>
      <c r="G99" s="183">
        <v>3</v>
      </c>
      <c r="H99" s="183">
        <v>3</v>
      </c>
      <c r="J99" s="225">
        <v>13775</v>
      </c>
      <c r="K99" s="183" t="s">
        <v>340</v>
      </c>
      <c r="L99" s="183" t="s">
        <v>1807</v>
      </c>
    </row>
    <row r="100" spans="2:12" x14ac:dyDescent="0.2">
      <c r="B100" s="228">
        <v>26166</v>
      </c>
      <c r="C100" s="183" t="s">
        <v>1808</v>
      </c>
      <c r="E100" s="183" t="s">
        <v>1809</v>
      </c>
      <c r="F100" s="183" t="s">
        <v>261</v>
      </c>
      <c r="G100" s="183">
        <v>1</v>
      </c>
      <c r="H100" s="183">
        <v>3</v>
      </c>
      <c r="J100" s="225">
        <v>4930</v>
      </c>
      <c r="K100" s="183" t="s">
        <v>1810</v>
      </c>
      <c r="L100" s="183" t="s">
        <v>1807</v>
      </c>
    </row>
    <row r="101" spans="2:12" x14ac:dyDescent="0.2">
      <c r="B101" s="228">
        <v>26586</v>
      </c>
      <c r="C101" s="183" t="s">
        <v>288</v>
      </c>
      <c r="E101" s="183" t="s">
        <v>580</v>
      </c>
      <c r="F101" s="183" t="s">
        <v>252</v>
      </c>
      <c r="G101" s="183">
        <v>2</v>
      </c>
      <c r="H101" s="183">
        <v>0</v>
      </c>
      <c r="J101" s="225">
        <v>3489</v>
      </c>
      <c r="K101" s="183" t="s">
        <v>342</v>
      </c>
      <c r="L101" s="183" t="s">
        <v>1807</v>
      </c>
    </row>
    <row r="102" spans="2:12" x14ac:dyDescent="0.2">
      <c r="B102" s="228">
        <v>27027</v>
      </c>
      <c r="C102" s="183" t="s">
        <v>288</v>
      </c>
      <c r="E102" s="183" t="s">
        <v>1811</v>
      </c>
      <c r="F102" s="183" t="s">
        <v>252</v>
      </c>
      <c r="G102" s="183">
        <v>1</v>
      </c>
      <c r="H102" s="183">
        <v>0</v>
      </c>
      <c r="J102" s="225">
        <v>6274</v>
      </c>
      <c r="K102" s="183" t="s">
        <v>1812</v>
      </c>
      <c r="L102" s="183" t="s">
        <v>1807</v>
      </c>
    </row>
    <row r="103" spans="2:12" x14ac:dyDescent="0.2">
      <c r="B103" s="228">
        <v>27104</v>
      </c>
      <c r="C103" s="183" t="s">
        <v>288</v>
      </c>
      <c r="E103" s="183" t="s">
        <v>1813</v>
      </c>
      <c r="F103" s="183" t="s">
        <v>252</v>
      </c>
      <c r="G103" s="183">
        <v>2</v>
      </c>
      <c r="H103" s="183">
        <v>1</v>
      </c>
      <c r="J103" s="225">
        <v>11066</v>
      </c>
      <c r="K103" s="183" t="s">
        <v>344</v>
      </c>
      <c r="L103" s="183" t="s">
        <v>1807</v>
      </c>
    </row>
    <row r="104" spans="2:12" x14ac:dyDescent="0.2">
      <c r="B104" s="228">
        <v>27146</v>
      </c>
      <c r="C104" s="183" t="s">
        <v>1814</v>
      </c>
      <c r="E104" s="224" t="s">
        <v>1815</v>
      </c>
      <c r="F104" s="183" t="s">
        <v>252</v>
      </c>
      <c r="G104" s="183">
        <v>1</v>
      </c>
      <c r="H104" s="183">
        <v>1</v>
      </c>
      <c r="J104" s="225">
        <v>15583</v>
      </c>
      <c r="K104" s="183" t="s">
        <v>1816</v>
      </c>
      <c r="L104" s="183" t="s">
        <v>1807</v>
      </c>
    </row>
    <row r="105" spans="2:12" x14ac:dyDescent="0.2">
      <c r="B105" s="228">
        <v>27279</v>
      </c>
      <c r="C105" s="183" t="s">
        <v>336</v>
      </c>
      <c r="E105" s="183" t="s">
        <v>1817</v>
      </c>
      <c r="F105" s="183" t="s">
        <v>261</v>
      </c>
      <c r="G105" s="183">
        <v>2</v>
      </c>
      <c r="H105" s="183">
        <v>0</v>
      </c>
      <c r="J105" s="225">
        <v>7628</v>
      </c>
      <c r="K105" s="183" t="s">
        <v>1818</v>
      </c>
      <c r="L105" s="183" t="s">
        <v>1819</v>
      </c>
    </row>
    <row r="106" spans="2:12" x14ac:dyDescent="0.2">
      <c r="B106" s="228">
        <v>27342</v>
      </c>
      <c r="C106" s="183" t="s">
        <v>336</v>
      </c>
      <c r="E106" s="183" t="s">
        <v>1820</v>
      </c>
      <c r="F106" s="183" t="s">
        <v>261</v>
      </c>
      <c r="G106" s="183">
        <v>0</v>
      </c>
      <c r="H106" s="183">
        <v>3</v>
      </c>
      <c r="J106" s="225">
        <v>12495</v>
      </c>
      <c r="L106" s="183" t="s">
        <v>1821</v>
      </c>
    </row>
    <row r="107" spans="2:12" x14ac:dyDescent="0.2">
      <c r="B107" s="228">
        <v>27363</v>
      </c>
      <c r="C107" s="183" t="s">
        <v>336</v>
      </c>
      <c r="E107" s="183" t="s">
        <v>1822</v>
      </c>
      <c r="F107" s="183" t="s">
        <v>252</v>
      </c>
      <c r="G107" s="183">
        <v>1</v>
      </c>
      <c r="H107" s="183">
        <v>0</v>
      </c>
      <c r="J107" s="225">
        <v>7887</v>
      </c>
      <c r="K107" s="183" t="s">
        <v>335</v>
      </c>
      <c r="L107" s="183" t="s">
        <v>1823</v>
      </c>
    </row>
    <row r="108" spans="2:12" x14ac:dyDescent="0.2">
      <c r="B108" s="228">
        <v>27412</v>
      </c>
      <c r="C108" s="183" t="s">
        <v>336</v>
      </c>
      <c r="E108" s="183" t="s">
        <v>1822</v>
      </c>
      <c r="F108" s="183" t="s">
        <v>261</v>
      </c>
      <c r="G108" s="183">
        <v>3</v>
      </c>
      <c r="H108" s="183">
        <v>2</v>
      </c>
      <c r="J108" s="225">
        <v>23382</v>
      </c>
      <c r="K108" s="183" t="s">
        <v>1824</v>
      </c>
      <c r="L108" s="183" t="s">
        <v>1825</v>
      </c>
    </row>
    <row r="109" spans="2:12" x14ac:dyDescent="0.2">
      <c r="B109" s="228">
        <v>27650</v>
      </c>
      <c r="C109" s="183" t="s">
        <v>336</v>
      </c>
      <c r="E109" s="183" t="s">
        <v>1826</v>
      </c>
      <c r="F109" s="183" t="s">
        <v>252</v>
      </c>
      <c r="G109" s="183">
        <v>1</v>
      </c>
      <c r="H109" s="183">
        <v>2</v>
      </c>
      <c r="J109" s="225">
        <v>5807</v>
      </c>
      <c r="K109" s="183" t="s">
        <v>1827</v>
      </c>
      <c r="L109" s="183" t="s">
        <v>1807</v>
      </c>
    </row>
    <row r="110" spans="2:12" x14ac:dyDescent="0.2">
      <c r="B110" s="228">
        <v>27734</v>
      </c>
      <c r="C110" s="183" t="s">
        <v>1783</v>
      </c>
      <c r="E110" s="183" t="s">
        <v>1828</v>
      </c>
      <c r="F110" s="183" t="s">
        <v>252</v>
      </c>
      <c r="G110" s="183">
        <v>1</v>
      </c>
      <c r="H110" s="183">
        <v>2</v>
      </c>
      <c r="J110" s="225">
        <v>7037</v>
      </c>
      <c r="K110" s="183" t="s">
        <v>335</v>
      </c>
      <c r="L110" s="183" t="s">
        <v>1807</v>
      </c>
    </row>
    <row r="111" spans="2:12" x14ac:dyDescent="0.2">
      <c r="B111" s="228">
        <v>27846</v>
      </c>
      <c r="C111" s="183" t="s">
        <v>336</v>
      </c>
      <c r="E111" s="183" t="s">
        <v>1828</v>
      </c>
      <c r="F111" s="183" t="s">
        <v>261</v>
      </c>
      <c r="G111" s="183">
        <v>1</v>
      </c>
      <c r="H111" s="183">
        <v>1</v>
      </c>
      <c r="J111" s="225">
        <v>6306</v>
      </c>
      <c r="K111" s="183" t="s">
        <v>1829</v>
      </c>
      <c r="L111" s="183" t="s">
        <v>1807</v>
      </c>
    </row>
    <row r="112" spans="2:12" x14ac:dyDescent="0.2">
      <c r="B112" s="228">
        <v>28210</v>
      </c>
      <c r="C112" s="183" t="s">
        <v>288</v>
      </c>
      <c r="E112" s="183" t="s">
        <v>1830</v>
      </c>
      <c r="F112" s="183" t="s">
        <v>252</v>
      </c>
      <c r="G112" s="183">
        <v>1</v>
      </c>
      <c r="H112" s="183">
        <v>1</v>
      </c>
      <c r="J112" s="225">
        <v>2798</v>
      </c>
      <c r="K112" s="183" t="s">
        <v>1831</v>
      </c>
      <c r="L112" s="183" t="s">
        <v>1807</v>
      </c>
    </row>
    <row r="113" spans="2:12" x14ac:dyDescent="0.2">
      <c r="B113" s="228">
        <v>28882</v>
      </c>
      <c r="C113" s="183" t="s">
        <v>1832</v>
      </c>
      <c r="E113" s="183" t="s">
        <v>1833</v>
      </c>
      <c r="F113" s="183" t="s">
        <v>1834</v>
      </c>
      <c r="G113" s="183">
        <v>1</v>
      </c>
      <c r="H113" s="183">
        <v>3</v>
      </c>
      <c r="J113" s="225">
        <v>25228</v>
      </c>
      <c r="K113" s="183" t="s">
        <v>1835</v>
      </c>
      <c r="L113" s="183" t="s">
        <v>1836</v>
      </c>
    </row>
    <row r="114" spans="2:12" x14ac:dyDescent="0.2">
      <c r="B114" s="228"/>
      <c r="E114" s="183"/>
      <c r="J114" s="225"/>
    </row>
    <row r="115" spans="2:12" x14ac:dyDescent="0.2">
      <c r="B115" s="227" t="s">
        <v>1837</v>
      </c>
      <c r="E115" s="183"/>
      <c r="J115" s="225"/>
    </row>
    <row r="116" spans="2:12" x14ac:dyDescent="0.2">
      <c r="E116" s="183"/>
    </row>
    <row r="117" spans="2:12" x14ac:dyDescent="0.2">
      <c r="B117" s="229">
        <v>25956</v>
      </c>
      <c r="C117" s="183" t="s">
        <v>283</v>
      </c>
      <c r="D117" s="183" t="s">
        <v>1838</v>
      </c>
      <c r="K117" s="183" t="s">
        <v>1839</v>
      </c>
      <c r="L117" s="183" t="s">
        <v>1840</v>
      </c>
    </row>
    <row r="118" spans="2:12" x14ac:dyDescent="0.2">
      <c r="B118" s="229">
        <v>26166</v>
      </c>
      <c r="C118" s="183" t="s">
        <v>1841</v>
      </c>
      <c r="D118" s="183" t="s">
        <v>1838</v>
      </c>
      <c r="K118" s="183" t="s">
        <v>1842</v>
      </c>
      <c r="L118" s="183" t="s">
        <v>1712</v>
      </c>
    </row>
    <row r="119" spans="2:12" x14ac:dyDescent="0.2">
      <c r="B119" s="229">
        <v>26586</v>
      </c>
      <c r="C119" s="183" t="s">
        <v>1841</v>
      </c>
      <c r="D119" s="183" t="s">
        <v>1838</v>
      </c>
      <c r="K119" s="183" t="s">
        <v>1843</v>
      </c>
      <c r="L119" s="183" t="s">
        <v>1712</v>
      </c>
    </row>
    <row r="120" spans="2:12" x14ac:dyDescent="0.2">
      <c r="B120" s="229">
        <v>27125</v>
      </c>
      <c r="C120" s="183" t="s">
        <v>1841</v>
      </c>
      <c r="D120" s="183" t="s">
        <v>1844</v>
      </c>
      <c r="K120" s="183" t="s">
        <v>1845</v>
      </c>
      <c r="L120" s="183" t="s">
        <v>1846</v>
      </c>
    </row>
    <row r="121" spans="2:12" ht="8.25" customHeight="1" x14ac:dyDescent="0.2">
      <c r="B121" s="229">
        <v>27146</v>
      </c>
      <c r="C121" s="183" t="s">
        <v>1841</v>
      </c>
      <c r="D121" s="183" t="s">
        <v>1847</v>
      </c>
      <c r="K121" s="183" t="s">
        <v>1848</v>
      </c>
      <c r="L121" s="183" t="s">
        <v>1712</v>
      </c>
    </row>
    <row r="122" spans="2:12" x14ac:dyDescent="0.2">
      <c r="B122" s="229">
        <v>27279</v>
      </c>
      <c r="C122" s="183" t="s">
        <v>1849</v>
      </c>
      <c r="D122" s="183" t="s">
        <v>1838</v>
      </c>
      <c r="K122" s="183" t="s">
        <v>1850</v>
      </c>
      <c r="L122" s="183" t="s">
        <v>1851</v>
      </c>
    </row>
    <row r="123" spans="2:12" x14ac:dyDescent="0.2">
      <c r="B123" s="229">
        <v>27314</v>
      </c>
      <c r="C123" s="183" t="s">
        <v>1849</v>
      </c>
      <c r="D123" s="183" t="s">
        <v>1852</v>
      </c>
      <c r="K123" s="183" t="s">
        <v>1853</v>
      </c>
      <c r="L123" s="183" t="s">
        <v>1712</v>
      </c>
    </row>
    <row r="124" spans="2:12" x14ac:dyDescent="0.2">
      <c r="B124" s="229">
        <v>27342</v>
      </c>
      <c r="C124" s="183" t="s">
        <v>1849</v>
      </c>
      <c r="D124" s="183" t="s">
        <v>1838</v>
      </c>
      <c r="K124" s="183" t="s">
        <v>1854</v>
      </c>
      <c r="L124" s="183" t="s">
        <v>1712</v>
      </c>
    </row>
    <row r="125" spans="2:12" x14ac:dyDescent="0.2">
      <c r="B125" s="229">
        <v>27363</v>
      </c>
      <c r="C125" s="183" t="s">
        <v>1849</v>
      </c>
      <c r="D125" s="183" t="s">
        <v>1838</v>
      </c>
      <c r="K125" s="183" t="s">
        <v>1855</v>
      </c>
      <c r="L125" s="183" t="s">
        <v>1856</v>
      </c>
    </row>
    <row r="126" spans="2:12" ht="11.25" customHeight="1" x14ac:dyDescent="0.2">
      <c r="B126" s="229">
        <v>27412</v>
      </c>
      <c r="C126" s="183" t="s">
        <v>1849</v>
      </c>
      <c r="D126" s="183" t="s">
        <v>1838</v>
      </c>
      <c r="K126" s="183" t="s">
        <v>1857</v>
      </c>
      <c r="L126" s="183" t="s">
        <v>1858</v>
      </c>
    </row>
    <row r="127" spans="2:12" x14ac:dyDescent="0.2">
      <c r="B127" s="229">
        <v>27650</v>
      </c>
      <c r="C127" s="183" t="s">
        <v>1849</v>
      </c>
      <c r="D127" s="183" t="s">
        <v>1838</v>
      </c>
      <c r="K127" s="183" t="s">
        <v>1859</v>
      </c>
      <c r="L127" s="183" t="s">
        <v>1712</v>
      </c>
    </row>
    <row r="128" spans="2:12" x14ac:dyDescent="0.2">
      <c r="B128" s="229">
        <v>27720</v>
      </c>
      <c r="C128" s="183" t="s">
        <v>1849</v>
      </c>
      <c r="D128" s="183" t="s">
        <v>1844</v>
      </c>
      <c r="K128" s="183" t="s">
        <v>1860</v>
      </c>
      <c r="L128" s="183" t="s">
        <v>1861</v>
      </c>
    </row>
    <row r="129" spans="2:12" x14ac:dyDescent="0.2">
      <c r="B129" s="229">
        <v>27734</v>
      </c>
      <c r="C129" s="183" t="s">
        <v>1849</v>
      </c>
      <c r="D129" s="183" t="s">
        <v>1838</v>
      </c>
      <c r="K129" s="183" t="s">
        <v>1862</v>
      </c>
      <c r="L129" s="183" t="s">
        <v>1712</v>
      </c>
    </row>
    <row r="130" spans="2:12" x14ac:dyDescent="0.2">
      <c r="B130" s="229">
        <v>27846</v>
      </c>
      <c r="C130" s="183" t="s">
        <v>1849</v>
      </c>
      <c r="D130" s="183" t="s">
        <v>1838</v>
      </c>
      <c r="K130" s="183" t="s">
        <v>1863</v>
      </c>
      <c r="L130" s="183" t="s">
        <v>1712</v>
      </c>
    </row>
    <row r="131" spans="2:12" x14ac:dyDescent="0.2">
      <c r="B131" s="229">
        <v>28021</v>
      </c>
      <c r="C131" s="183" t="s">
        <v>1841</v>
      </c>
      <c r="D131" s="183" t="s">
        <v>1844</v>
      </c>
      <c r="K131" s="183" t="s">
        <v>1864</v>
      </c>
      <c r="L131" s="183" t="s">
        <v>1865</v>
      </c>
    </row>
    <row r="132" spans="2:12" x14ac:dyDescent="0.2">
      <c r="B132" s="229">
        <v>28210</v>
      </c>
      <c r="C132" s="183" t="s">
        <v>1841</v>
      </c>
      <c r="D132" s="183" t="s">
        <v>1838</v>
      </c>
      <c r="K132" s="183" t="s">
        <v>1866</v>
      </c>
      <c r="L132" s="183" t="s">
        <v>1712</v>
      </c>
    </row>
    <row r="133" spans="2:12" x14ac:dyDescent="0.2">
      <c r="B133" s="229">
        <v>28735</v>
      </c>
      <c r="C133" s="183" t="s">
        <v>1867</v>
      </c>
      <c r="D133" s="183" t="s">
        <v>1838</v>
      </c>
      <c r="K133" s="183" t="s">
        <v>1868</v>
      </c>
      <c r="L133" s="183" t="s">
        <v>1869</v>
      </c>
    </row>
    <row r="134" spans="2:12" x14ac:dyDescent="0.2">
      <c r="B134" s="229">
        <v>28882</v>
      </c>
      <c r="C134" s="183" t="s">
        <v>283</v>
      </c>
      <c r="D134" s="183" t="s">
        <v>1838</v>
      </c>
      <c r="K134" s="183" t="s">
        <v>1870</v>
      </c>
      <c r="L134" s="183" t="s">
        <v>1871</v>
      </c>
    </row>
    <row r="135" spans="2:12" x14ac:dyDescent="0.2">
      <c r="B135" s="229">
        <v>29155</v>
      </c>
      <c r="C135" s="183" t="s">
        <v>1867</v>
      </c>
      <c r="D135" s="183" t="s">
        <v>1838</v>
      </c>
      <c r="K135" s="183" t="s">
        <v>1872</v>
      </c>
      <c r="L135" s="183" t="s">
        <v>1869</v>
      </c>
    </row>
    <row r="136" spans="2:12" x14ac:dyDescent="0.2">
      <c r="B136" s="229">
        <v>30716</v>
      </c>
      <c r="C136" s="183" t="s">
        <v>1849</v>
      </c>
      <c r="D136" s="183" t="s">
        <v>1844</v>
      </c>
      <c r="K136" s="183" t="s">
        <v>1873</v>
      </c>
      <c r="L136" s="183" t="s">
        <v>1874</v>
      </c>
    </row>
    <row r="137" spans="2:12" x14ac:dyDescent="0.2">
      <c r="B137" s="229">
        <v>31073</v>
      </c>
      <c r="C137" s="183" t="s">
        <v>283</v>
      </c>
      <c r="D137" s="183" t="s">
        <v>1844</v>
      </c>
      <c r="K137" s="183" t="s">
        <v>1875</v>
      </c>
      <c r="L137" s="183" t="s">
        <v>1876</v>
      </c>
    </row>
    <row r="138" spans="2:12" x14ac:dyDescent="0.2">
      <c r="B138" s="229">
        <v>33579</v>
      </c>
      <c r="C138" s="183" t="s">
        <v>251</v>
      </c>
      <c r="D138" s="183" t="s">
        <v>1844</v>
      </c>
      <c r="K138" s="183" t="s">
        <v>1877</v>
      </c>
      <c r="L138" s="183" t="s">
        <v>1865</v>
      </c>
    </row>
    <row r="139" spans="2:12" x14ac:dyDescent="0.2">
      <c r="E139" s="183"/>
    </row>
    <row r="140" spans="2:12" x14ac:dyDescent="0.2">
      <c r="B140" s="227" t="s">
        <v>1878</v>
      </c>
      <c r="E140" s="183"/>
    </row>
    <row r="141" spans="2:12" x14ac:dyDescent="0.2">
      <c r="E141" s="183"/>
    </row>
    <row r="142" spans="2:12" x14ac:dyDescent="0.2">
      <c r="B142" s="183" t="s">
        <v>1879</v>
      </c>
      <c r="E142" s="183"/>
    </row>
    <row r="143" spans="2:12" x14ac:dyDescent="0.2">
      <c r="B143" s="183" t="s">
        <v>1880</v>
      </c>
      <c r="E143" s="183"/>
    </row>
    <row r="144" spans="2:12" x14ac:dyDescent="0.2">
      <c r="B144" s="183" t="s">
        <v>1881</v>
      </c>
      <c r="E144" s="183"/>
    </row>
    <row r="145" spans="2:5" x14ac:dyDescent="0.2">
      <c r="E145" s="183"/>
    </row>
    <row r="147" spans="2:5" x14ac:dyDescent="0.2">
      <c r="B147" s="227" t="s">
        <v>1882</v>
      </c>
    </row>
    <row r="148" spans="2:5" x14ac:dyDescent="0.2">
      <c r="B148" s="227"/>
    </row>
    <row r="149" spans="2:5" x14ac:dyDescent="0.2">
      <c r="B149" s="183" t="s">
        <v>1883</v>
      </c>
    </row>
    <row r="150" spans="2:5" x14ac:dyDescent="0.2">
      <c r="B150" s="230" t="s">
        <v>1884</v>
      </c>
    </row>
    <row r="153" spans="2:5" x14ac:dyDescent="0.2">
      <c r="B153" s="227" t="s">
        <v>1885</v>
      </c>
    </row>
    <row r="155" spans="2:5" x14ac:dyDescent="0.2">
      <c r="B155" s="183" t="s">
        <v>1886</v>
      </c>
    </row>
  </sheetData>
  <autoFilter ref="A1:L53"/>
  <hyperlinks>
    <hyperlink ref="B150" r:id="rId1"/>
  </hyperlinks>
  <pageMargins left="0.75" right="0.75" top="1" bottom="1" header="0.5" footer="0.5"/>
  <pageSetup paperSize="9" scale="77" orientation="landscape" horizontalDpi="200" verticalDpi="200" r:id="rId2"/>
  <headerFooter alignWithMargins="0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4"/>
  <sheetViews>
    <sheetView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A37" sqref="A37"/>
    </sheetView>
  </sheetViews>
  <sheetFormatPr defaultColWidth="9.42578125" defaultRowHeight="11.25" x14ac:dyDescent="0.2"/>
  <cols>
    <col min="1" max="1" width="2.42578125" style="2" bestFit="1" customWidth="1"/>
    <col min="2" max="2" width="9.140625" style="2" bestFit="1" customWidth="1"/>
    <col min="3" max="3" width="23.7109375" style="2" bestFit="1" customWidth="1"/>
    <col min="4" max="4" width="7.5703125" style="23" bestFit="1" customWidth="1"/>
    <col min="5" max="5" width="14.42578125" style="23" bestFit="1" customWidth="1"/>
    <col min="6" max="6" width="3.28515625" style="2" bestFit="1" customWidth="1"/>
    <col min="7" max="7" width="1.7109375" style="2" bestFit="1" customWidth="1"/>
    <col min="8" max="8" width="1.85546875" style="2" bestFit="1" customWidth="1"/>
    <col min="9" max="9" width="3" style="2" bestFit="1" customWidth="1"/>
    <col min="10" max="10" width="6" style="2" bestFit="1" customWidth="1"/>
    <col min="11" max="11" width="38" style="2" bestFit="1" customWidth="1"/>
    <col min="12" max="12" width="4" style="2" bestFit="1" customWidth="1"/>
    <col min="13" max="16384" width="9.42578125" style="2"/>
  </cols>
  <sheetData>
    <row r="1" spans="1:13" s="24" customFormat="1" x14ac:dyDescent="0.2">
      <c r="A1" s="18"/>
      <c r="B1" s="19" t="s">
        <v>250</v>
      </c>
      <c r="C1" s="21" t="s">
        <v>888</v>
      </c>
      <c r="D1" s="19" t="s">
        <v>257</v>
      </c>
      <c r="E1" s="18" t="s">
        <v>258</v>
      </c>
      <c r="F1" s="19" t="s">
        <v>259</v>
      </c>
      <c r="G1" s="19" t="s">
        <v>260</v>
      </c>
      <c r="H1" s="19" t="s">
        <v>261</v>
      </c>
      <c r="I1" s="19"/>
      <c r="J1" s="20" t="s">
        <v>889</v>
      </c>
      <c r="K1" s="21" t="s">
        <v>289</v>
      </c>
      <c r="L1" s="20" t="s">
        <v>925</v>
      </c>
      <c r="M1" s="21">
        <f>SUM(L2:L38)</f>
        <v>13</v>
      </c>
    </row>
    <row r="2" spans="1:13" x14ac:dyDescent="0.2">
      <c r="A2" s="10">
        <v>1</v>
      </c>
      <c r="B2" s="128">
        <v>10969</v>
      </c>
      <c r="C2" s="77" t="s">
        <v>871</v>
      </c>
      <c r="D2" s="110" t="s">
        <v>261</v>
      </c>
      <c r="E2" s="77" t="s">
        <v>866</v>
      </c>
      <c r="F2" s="110" t="s">
        <v>254</v>
      </c>
      <c r="G2" s="110">
        <v>1</v>
      </c>
      <c r="H2" s="110">
        <v>1</v>
      </c>
      <c r="I2" s="121"/>
      <c r="J2" s="122">
        <v>38674</v>
      </c>
      <c r="K2" s="77" t="s">
        <v>919</v>
      </c>
    </row>
    <row r="3" spans="1:13" x14ac:dyDescent="0.2">
      <c r="A3" s="10">
        <f>A2+1</f>
        <v>2</v>
      </c>
      <c r="B3" s="128">
        <v>11333</v>
      </c>
      <c r="C3" s="77" t="s">
        <v>871</v>
      </c>
      <c r="D3" s="110" t="s">
        <v>261</v>
      </c>
      <c r="E3" s="77" t="s">
        <v>867</v>
      </c>
      <c r="F3" s="110" t="s">
        <v>254</v>
      </c>
      <c r="G3" s="110">
        <v>1</v>
      </c>
      <c r="H3" s="110">
        <v>1</v>
      </c>
      <c r="I3" s="121"/>
      <c r="J3" s="122">
        <v>31821</v>
      </c>
      <c r="K3" s="77" t="s">
        <v>920</v>
      </c>
    </row>
    <row r="4" spans="1:13" x14ac:dyDescent="0.2">
      <c r="A4" s="10">
        <f t="shared" ref="A4:A33" si="0">A3+1</f>
        <v>3</v>
      </c>
      <c r="B4" s="128">
        <v>13944</v>
      </c>
      <c r="C4" s="77" t="s">
        <v>875</v>
      </c>
      <c r="D4" s="110" t="s">
        <v>252</v>
      </c>
      <c r="E4" s="77" t="s">
        <v>901</v>
      </c>
      <c r="F4" s="110" t="s">
        <v>254</v>
      </c>
      <c r="G4" s="110">
        <v>0</v>
      </c>
      <c r="H4" s="110">
        <v>0</v>
      </c>
      <c r="I4" s="121"/>
      <c r="J4" s="122">
        <v>28123</v>
      </c>
      <c r="K4" s="77" t="s">
        <v>911</v>
      </c>
    </row>
    <row r="5" spans="1:13" x14ac:dyDescent="0.2">
      <c r="A5" s="10">
        <f t="shared" si="0"/>
        <v>4</v>
      </c>
      <c r="B5" s="128">
        <v>13948</v>
      </c>
      <c r="C5" s="77" t="s">
        <v>872</v>
      </c>
      <c r="D5" s="110" t="s">
        <v>261</v>
      </c>
      <c r="E5" s="77" t="s">
        <v>494</v>
      </c>
      <c r="F5" s="110" t="s">
        <v>268</v>
      </c>
      <c r="G5" s="110">
        <v>1</v>
      </c>
      <c r="H5" s="110">
        <v>2</v>
      </c>
      <c r="I5" s="121"/>
      <c r="J5" s="122">
        <v>58066</v>
      </c>
      <c r="K5" s="77" t="s">
        <v>894</v>
      </c>
    </row>
    <row r="6" spans="1:13" x14ac:dyDescent="0.2">
      <c r="A6" s="10">
        <f t="shared" si="0"/>
        <v>5</v>
      </c>
      <c r="B6" s="128">
        <v>15813</v>
      </c>
      <c r="C6" s="77" t="s">
        <v>887</v>
      </c>
      <c r="D6" s="110" t="s">
        <v>261</v>
      </c>
      <c r="E6" s="77" t="s">
        <v>868</v>
      </c>
      <c r="F6" s="110" t="s">
        <v>268</v>
      </c>
      <c r="G6" s="110">
        <v>0</v>
      </c>
      <c r="H6" s="110">
        <v>3</v>
      </c>
      <c r="I6" s="121"/>
      <c r="J6" s="122">
        <v>35253</v>
      </c>
      <c r="K6" s="77" t="s">
        <v>890</v>
      </c>
    </row>
    <row r="7" spans="1:13" x14ac:dyDescent="0.2">
      <c r="A7" s="10">
        <f t="shared" si="0"/>
        <v>6</v>
      </c>
      <c r="B7" s="128">
        <v>16828</v>
      </c>
      <c r="C7" s="77" t="s">
        <v>873</v>
      </c>
      <c r="D7" s="110" t="s">
        <v>261</v>
      </c>
      <c r="E7" s="77" t="s">
        <v>868</v>
      </c>
      <c r="F7" s="110" t="s">
        <v>268</v>
      </c>
      <c r="G7" s="110">
        <v>1</v>
      </c>
      <c r="H7" s="110">
        <v>5</v>
      </c>
      <c r="I7" s="121"/>
      <c r="J7" s="122">
        <v>33363</v>
      </c>
      <c r="K7" s="77" t="s">
        <v>891</v>
      </c>
    </row>
    <row r="8" spans="1:13" x14ac:dyDescent="0.2">
      <c r="A8" s="10">
        <f t="shared" si="0"/>
        <v>7</v>
      </c>
      <c r="B8" s="128">
        <v>17626</v>
      </c>
      <c r="C8" s="77" t="s">
        <v>874</v>
      </c>
      <c r="D8" s="110" t="s">
        <v>261</v>
      </c>
      <c r="E8" s="77" t="s">
        <v>495</v>
      </c>
      <c r="F8" s="110" t="s">
        <v>254</v>
      </c>
      <c r="G8" s="110">
        <v>1</v>
      </c>
      <c r="H8" s="110">
        <v>1</v>
      </c>
      <c r="I8" s="121"/>
      <c r="J8" s="122">
        <v>32466</v>
      </c>
      <c r="K8" s="77"/>
    </row>
    <row r="9" spans="1:13" x14ac:dyDescent="0.2">
      <c r="A9" s="10">
        <f t="shared" si="0"/>
        <v>8</v>
      </c>
      <c r="B9" s="128">
        <v>17994</v>
      </c>
      <c r="C9" s="77" t="s">
        <v>874</v>
      </c>
      <c r="D9" s="110" t="s">
        <v>261</v>
      </c>
      <c r="E9" s="77" t="s">
        <v>495</v>
      </c>
      <c r="F9" s="110" t="s">
        <v>281</v>
      </c>
      <c r="G9" s="110">
        <v>3</v>
      </c>
      <c r="H9" s="110">
        <v>2</v>
      </c>
      <c r="I9" s="121"/>
      <c r="J9" s="122">
        <v>40002</v>
      </c>
      <c r="K9" s="77" t="s">
        <v>917</v>
      </c>
    </row>
    <row r="10" spans="1:13" x14ac:dyDescent="0.2">
      <c r="A10" s="10">
        <f t="shared" si="0"/>
        <v>9</v>
      </c>
      <c r="B10" s="128">
        <v>18634</v>
      </c>
      <c r="C10" s="77" t="s">
        <v>871</v>
      </c>
      <c r="D10" s="110" t="s">
        <v>261</v>
      </c>
      <c r="E10" s="77" t="s">
        <v>880</v>
      </c>
      <c r="F10" s="110" t="s">
        <v>268</v>
      </c>
      <c r="G10" s="110">
        <v>0</v>
      </c>
      <c r="H10" s="110">
        <v>2</v>
      </c>
      <c r="I10" s="121"/>
      <c r="J10" s="122">
        <v>26652</v>
      </c>
      <c r="K10" s="10"/>
    </row>
    <row r="11" spans="1:13" x14ac:dyDescent="0.2">
      <c r="A11" s="10">
        <f t="shared" si="0"/>
        <v>10</v>
      </c>
      <c r="B11" s="128">
        <v>20097</v>
      </c>
      <c r="C11" s="77" t="s">
        <v>871</v>
      </c>
      <c r="D11" s="110" t="s">
        <v>261</v>
      </c>
      <c r="E11" s="77" t="s">
        <v>286</v>
      </c>
      <c r="F11" s="110" t="s">
        <v>281</v>
      </c>
      <c r="G11" s="110">
        <v>2</v>
      </c>
      <c r="H11" s="110">
        <v>0</v>
      </c>
      <c r="I11" s="121"/>
      <c r="J11" s="122">
        <v>26030</v>
      </c>
      <c r="K11" s="10"/>
    </row>
    <row r="12" spans="1:13" x14ac:dyDescent="0.2">
      <c r="A12" s="10">
        <f t="shared" si="0"/>
        <v>11</v>
      </c>
      <c r="B12" s="128">
        <v>20160</v>
      </c>
      <c r="C12" s="77" t="s">
        <v>875</v>
      </c>
      <c r="D12" s="110" t="s">
        <v>261</v>
      </c>
      <c r="E12" s="77" t="s">
        <v>869</v>
      </c>
      <c r="F12" s="110" t="s">
        <v>281</v>
      </c>
      <c r="G12" s="110">
        <v>1</v>
      </c>
      <c r="H12" s="110">
        <v>0</v>
      </c>
      <c r="I12" s="121"/>
      <c r="J12" s="122">
        <v>47301</v>
      </c>
      <c r="K12" s="77" t="s">
        <v>918</v>
      </c>
    </row>
    <row r="13" spans="1:13" x14ac:dyDescent="0.2">
      <c r="A13" s="10">
        <f t="shared" si="0"/>
        <v>12</v>
      </c>
      <c r="B13" s="128">
        <v>20174</v>
      </c>
      <c r="C13" s="77" t="s">
        <v>870</v>
      </c>
      <c r="D13" s="110" t="s">
        <v>877</v>
      </c>
      <c r="E13" s="77" t="s">
        <v>866</v>
      </c>
      <c r="F13" s="110" t="s">
        <v>254</v>
      </c>
      <c r="G13" s="110">
        <v>1</v>
      </c>
      <c r="H13" s="110">
        <v>1</v>
      </c>
      <c r="I13" s="121"/>
      <c r="J13" s="122">
        <v>65000</v>
      </c>
      <c r="K13" s="77" t="s">
        <v>892</v>
      </c>
    </row>
    <row r="14" spans="1:13" x14ac:dyDescent="0.2">
      <c r="A14" s="10">
        <f t="shared" si="0"/>
        <v>13</v>
      </c>
      <c r="B14" s="128">
        <v>20178</v>
      </c>
      <c r="C14" s="77" t="s">
        <v>876</v>
      </c>
      <c r="D14" s="110" t="s">
        <v>878</v>
      </c>
      <c r="E14" s="77" t="s">
        <v>866</v>
      </c>
      <c r="F14" s="110" t="s">
        <v>268</v>
      </c>
      <c r="G14" s="110">
        <v>0</v>
      </c>
      <c r="H14" s="110">
        <v>2</v>
      </c>
      <c r="I14" s="121"/>
      <c r="J14" s="122">
        <v>58239</v>
      </c>
      <c r="K14" s="77"/>
    </row>
    <row r="15" spans="1:13" x14ac:dyDescent="0.2">
      <c r="A15" s="10">
        <f t="shared" si="0"/>
        <v>14</v>
      </c>
      <c r="B15" s="128">
        <v>20461</v>
      </c>
      <c r="C15" s="77" t="s">
        <v>871</v>
      </c>
      <c r="D15" s="110" t="s">
        <v>261</v>
      </c>
      <c r="E15" s="77" t="s">
        <v>902</v>
      </c>
      <c r="F15" s="110" t="s">
        <v>281</v>
      </c>
      <c r="G15" s="110">
        <v>2</v>
      </c>
      <c r="H15" s="110">
        <v>1</v>
      </c>
      <c r="I15" s="121"/>
      <c r="J15" s="122">
        <v>25636</v>
      </c>
      <c r="K15" s="10"/>
    </row>
    <row r="16" spans="1:13" x14ac:dyDescent="0.2">
      <c r="A16" s="10">
        <f t="shared" si="0"/>
        <v>15</v>
      </c>
      <c r="B16" s="128">
        <v>20486</v>
      </c>
      <c r="C16" s="77" t="s">
        <v>879</v>
      </c>
      <c r="D16" s="110" t="s">
        <v>261</v>
      </c>
      <c r="E16" s="77" t="s">
        <v>501</v>
      </c>
      <c r="F16" s="110" t="s">
        <v>268</v>
      </c>
      <c r="G16" s="110">
        <v>1</v>
      </c>
      <c r="H16" s="110">
        <v>2</v>
      </c>
      <c r="I16" s="121"/>
      <c r="J16" s="122">
        <v>43928</v>
      </c>
      <c r="K16" s="77" t="s">
        <v>895</v>
      </c>
    </row>
    <row r="17" spans="1:12" x14ac:dyDescent="0.2">
      <c r="A17" s="10">
        <f t="shared" si="0"/>
        <v>16</v>
      </c>
      <c r="B17" s="128">
        <v>21214</v>
      </c>
      <c r="C17" s="77" t="s">
        <v>879</v>
      </c>
      <c r="D17" s="110" t="s">
        <v>261</v>
      </c>
      <c r="E17" s="77" t="s">
        <v>880</v>
      </c>
      <c r="F17" s="110" t="s">
        <v>268</v>
      </c>
      <c r="G17" s="110">
        <v>0</v>
      </c>
      <c r="H17" s="110">
        <v>3</v>
      </c>
      <c r="I17" s="121"/>
      <c r="J17" s="122">
        <v>34062</v>
      </c>
      <c r="K17" s="77" t="s">
        <v>896</v>
      </c>
    </row>
    <row r="18" spans="1:12" x14ac:dyDescent="0.2">
      <c r="A18" s="10">
        <f t="shared" si="0"/>
        <v>17</v>
      </c>
      <c r="B18" s="128">
        <v>22008</v>
      </c>
      <c r="C18" s="77" t="s">
        <v>907</v>
      </c>
      <c r="D18" s="110" t="s">
        <v>261</v>
      </c>
      <c r="E18" s="77" t="s">
        <v>903</v>
      </c>
      <c r="F18" s="110" t="s">
        <v>268</v>
      </c>
      <c r="G18" s="110">
        <v>0</v>
      </c>
      <c r="H18" s="110">
        <v>1</v>
      </c>
      <c r="I18" s="121"/>
      <c r="J18" s="122">
        <v>26952</v>
      </c>
      <c r="K18" s="10"/>
    </row>
    <row r="19" spans="1:12" x14ac:dyDescent="0.2">
      <c r="A19" s="10">
        <f t="shared" si="0"/>
        <v>18</v>
      </c>
      <c r="B19" s="128">
        <v>22292</v>
      </c>
      <c r="C19" s="77" t="s">
        <v>908</v>
      </c>
      <c r="D19" s="110" t="s">
        <v>261</v>
      </c>
      <c r="E19" s="77" t="s">
        <v>903</v>
      </c>
      <c r="F19" s="110" t="s">
        <v>268</v>
      </c>
      <c r="G19" s="110">
        <v>0</v>
      </c>
      <c r="H19" s="110">
        <v>1</v>
      </c>
      <c r="I19" s="121"/>
      <c r="J19" s="122">
        <v>27438</v>
      </c>
      <c r="K19" s="77" t="s">
        <v>912</v>
      </c>
      <c r="L19" s="4"/>
    </row>
    <row r="20" spans="1:12" x14ac:dyDescent="0.2">
      <c r="A20" s="10">
        <f t="shared" si="0"/>
        <v>19</v>
      </c>
      <c r="B20" s="128">
        <v>25592</v>
      </c>
      <c r="C20" s="77" t="s">
        <v>881</v>
      </c>
      <c r="D20" s="110" t="s">
        <v>261</v>
      </c>
      <c r="E20" s="77" t="s">
        <v>400</v>
      </c>
      <c r="F20" s="110" t="s">
        <v>268</v>
      </c>
      <c r="G20" s="110">
        <v>1</v>
      </c>
      <c r="H20" s="110">
        <v>4</v>
      </c>
      <c r="I20" s="121"/>
      <c r="J20" s="122">
        <v>38283</v>
      </c>
      <c r="K20" s="77"/>
      <c r="L20" s="77">
        <v>1</v>
      </c>
    </row>
    <row r="21" spans="1:12" x14ac:dyDescent="0.2">
      <c r="A21" s="10">
        <f t="shared" si="0"/>
        <v>20</v>
      </c>
      <c r="B21" s="128">
        <v>25965</v>
      </c>
      <c r="C21" s="77" t="s">
        <v>879</v>
      </c>
      <c r="D21" s="110" t="s">
        <v>261</v>
      </c>
      <c r="E21" s="77" t="s">
        <v>635</v>
      </c>
      <c r="F21" s="110" t="s">
        <v>268</v>
      </c>
      <c r="G21" s="110">
        <v>2</v>
      </c>
      <c r="H21" s="110">
        <v>3</v>
      </c>
      <c r="I21" s="121"/>
      <c r="J21" s="122">
        <v>25034</v>
      </c>
      <c r="K21" s="77" t="s">
        <v>913</v>
      </c>
      <c r="L21" s="126"/>
    </row>
    <row r="22" spans="1:12" x14ac:dyDescent="0.2">
      <c r="A22" s="10">
        <f t="shared" si="0"/>
        <v>21</v>
      </c>
      <c r="B22" s="128">
        <v>26211</v>
      </c>
      <c r="C22" s="77" t="s">
        <v>909</v>
      </c>
      <c r="D22" s="110" t="s">
        <v>261</v>
      </c>
      <c r="E22" s="77" t="s">
        <v>867</v>
      </c>
      <c r="F22" s="110" t="s">
        <v>268</v>
      </c>
      <c r="G22" s="110">
        <v>2</v>
      </c>
      <c r="H22" s="110">
        <v>3</v>
      </c>
      <c r="I22" s="121"/>
      <c r="J22" s="122">
        <v>29828</v>
      </c>
      <c r="K22" s="77" t="s">
        <v>921</v>
      </c>
    </row>
    <row r="23" spans="1:12" x14ac:dyDescent="0.2">
      <c r="A23" s="10">
        <f t="shared" si="0"/>
        <v>22</v>
      </c>
      <c r="B23" s="128">
        <v>26334</v>
      </c>
      <c r="C23" s="77" t="s">
        <v>907</v>
      </c>
      <c r="D23" s="110" t="s">
        <v>261</v>
      </c>
      <c r="E23" s="77" t="s">
        <v>904</v>
      </c>
      <c r="F23" s="110" t="s">
        <v>268</v>
      </c>
      <c r="G23" s="110">
        <v>0</v>
      </c>
      <c r="H23" s="110">
        <v>1</v>
      </c>
      <c r="I23" s="121"/>
      <c r="J23" s="122">
        <v>26905</v>
      </c>
      <c r="K23" s="10"/>
      <c r="L23" s="4"/>
    </row>
    <row r="24" spans="1:12" x14ac:dyDescent="0.2">
      <c r="A24" s="10">
        <f t="shared" si="0"/>
        <v>23</v>
      </c>
      <c r="B24" s="128">
        <v>27389</v>
      </c>
      <c r="C24" s="77" t="s">
        <v>882</v>
      </c>
      <c r="D24" s="110" t="s">
        <v>261</v>
      </c>
      <c r="E24" s="77" t="s">
        <v>501</v>
      </c>
      <c r="F24" s="110" t="s">
        <v>268</v>
      </c>
      <c r="G24" s="110">
        <v>0</v>
      </c>
      <c r="H24" s="110">
        <v>2</v>
      </c>
      <c r="I24" s="121"/>
      <c r="J24" s="122">
        <v>35367</v>
      </c>
      <c r="K24" s="77"/>
      <c r="L24" s="77">
        <v>1</v>
      </c>
    </row>
    <row r="25" spans="1:12" x14ac:dyDescent="0.2">
      <c r="A25" s="10">
        <f t="shared" si="0"/>
        <v>24</v>
      </c>
      <c r="B25" s="128">
        <v>27398</v>
      </c>
      <c r="C25" s="77" t="s">
        <v>871</v>
      </c>
      <c r="D25" s="110" t="s">
        <v>261</v>
      </c>
      <c r="E25" s="77" t="s">
        <v>905</v>
      </c>
      <c r="F25" s="110" t="s">
        <v>254</v>
      </c>
      <c r="G25" s="110">
        <v>1</v>
      </c>
      <c r="H25" s="110">
        <v>1</v>
      </c>
      <c r="I25" s="121"/>
      <c r="J25" s="122">
        <v>27029</v>
      </c>
      <c r="K25" s="77" t="s">
        <v>914</v>
      </c>
      <c r="L25" s="77">
        <v>1</v>
      </c>
    </row>
    <row r="26" spans="1:12" x14ac:dyDescent="0.2">
      <c r="A26" s="10">
        <f t="shared" si="0"/>
        <v>25</v>
      </c>
      <c r="B26" s="128">
        <v>27482</v>
      </c>
      <c r="C26" s="77" t="s">
        <v>882</v>
      </c>
      <c r="D26" s="110" t="s">
        <v>261</v>
      </c>
      <c r="E26" s="77" t="s">
        <v>883</v>
      </c>
      <c r="F26" s="110" t="s">
        <v>268</v>
      </c>
      <c r="G26" s="110">
        <v>1</v>
      </c>
      <c r="H26" s="110">
        <v>2</v>
      </c>
      <c r="I26" s="121"/>
      <c r="J26" s="122">
        <v>46802</v>
      </c>
      <c r="K26" s="77" t="s">
        <v>893</v>
      </c>
      <c r="L26" s="77">
        <v>1</v>
      </c>
    </row>
    <row r="27" spans="1:12" x14ac:dyDescent="0.2">
      <c r="A27" s="10">
        <f t="shared" si="0"/>
        <v>26</v>
      </c>
      <c r="B27" s="128">
        <v>27849</v>
      </c>
      <c r="C27" s="77" t="s">
        <v>882</v>
      </c>
      <c r="D27" s="110" t="s">
        <v>261</v>
      </c>
      <c r="E27" s="77" t="s">
        <v>501</v>
      </c>
      <c r="F27" s="110" t="s">
        <v>268</v>
      </c>
      <c r="G27" s="110">
        <v>0</v>
      </c>
      <c r="H27" s="110">
        <v>1</v>
      </c>
      <c r="I27" s="121"/>
      <c r="J27" s="122">
        <v>33462</v>
      </c>
      <c r="K27" s="77"/>
    </row>
    <row r="28" spans="1:12" x14ac:dyDescent="0.2">
      <c r="A28" s="10">
        <f t="shared" si="0"/>
        <v>27</v>
      </c>
      <c r="B28" s="128">
        <v>28882</v>
      </c>
      <c r="C28" s="77" t="s">
        <v>881</v>
      </c>
      <c r="D28" s="110" t="s">
        <v>261</v>
      </c>
      <c r="E28" s="77" t="s">
        <v>906</v>
      </c>
      <c r="F28" s="110" t="s">
        <v>268</v>
      </c>
      <c r="G28" s="110">
        <v>1</v>
      </c>
      <c r="H28" s="110">
        <v>3</v>
      </c>
      <c r="I28" s="121"/>
      <c r="J28" s="122">
        <v>25228</v>
      </c>
      <c r="K28" s="10"/>
      <c r="L28" s="77">
        <v>1</v>
      </c>
    </row>
    <row r="29" spans="1:12" x14ac:dyDescent="0.2">
      <c r="A29" s="10">
        <f t="shared" si="0"/>
        <v>28</v>
      </c>
      <c r="B29" s="128">
        <v>31098</v>
      </c>
      <c r="C29" s="77" t="s">
        <v>884</v>
      </c>
      <c r="D29" s="110" t="s">
        <v>261</v>
      </c>
      <c r="E29" s="77" t="s">
        <v>612</v>
      </c>
      <c r="F29" s="110" t="s">
        <v>268</v>
      </c>
      <c r="G29" s="110">
        <v>0</v>
      </c>
      <c r="H29" s="110">
        <v>7</v>
      </c>
      <c r="I29" s="121"/>
      <c r="J29" s="122">
        <v>43010</v>
      </c>
      <c r="K29" s="77" t="s">
        <v>897</v>
      </c>
      <c r="L29" s="77">
        <v>1</v>
      </c>
    </row>
    <row r="30" spans="1:12" x14ac:dyDescent="0.2">
      <c r="A30" s="10">
        <f t="shared" si="0"/>
        <v>29</v>
      </c>
      <c r="B30" s="128">
        <v>31461</v>
      </c>
      <c r="C30" s="77" t="s">
        <v>884</v>
      </c>
      <c r="D30" s="110" t="s">
        <v>261</v>
      </c>
      <c r="E30" s="77" t="s">
        <v>612</v>
      </c>
      <c r="F30" s="110" t="s">
        <v>268</v>
      </c>
      <c r="G30" s="110">
        <v>1</v>
      </c>
      <c r="H30" s="110">
        <v>3</v>
      </c>
      <c r="I30" s="121"/>
      <c r="J30" s="122">
        <v>29362</v>
      </c>
      <c r="K30" s="77" t="s">
        <v>915</v>
      </c>
      <c r="L30" s="77">
        <v>1</v>
      </c>
    </row>
    <row r="31" spans="1:12" x14ac:dyDescent="0.2">
      <c r="A31" s="10">
        <f t="shared" si="0"/>
        <v>30</v>
      </c>
      <c r="B31" s="128">
        <v>34962</v>
      </c>
      <c r="C31" s="77" t="s">
        <v>910</v>
      </c>
      <c r="D31" s="110" t="s">
        <v>261</v>
      </c>
      <c r="E31" s="77" t="s">
        <v>883</v>
      </c>
      <c r="F31" s="110" t="s">
        <v>281</v>
      </c>
      <c r="G31" s="110">
        <v>3</v>
      </c>
      <c r="H31" s="110">
        <v>0</v>
      </c>
      <c r="I31" s="121"/>
      <c r="J31" s="122">
        <v>29049</v>
      </c>
      <c r="K31" s="77" t="s">
        <v>916</v>
      </c>
      <c r="L31" s="77">
        <v>1</v>
      </c>
    </row>
    <row r="32" spans="1:12" x14ac:dyDescent="0.2">
      <c r="A32" s="10">
        <f t="shared" si="0"/>
        <v>31</v>
      </c>
      <c r="B32" s="128">
        <v>36288</v>
      </c>
      <c r="C32" s="77" t="s">
        <v>886</v>
      </c>
      <c r="D32" s="110" t="s">
        <v>261</v>
      </c>
      <c r="E32" s="77" t="s">
        <v>885</v>
      </c>
      <c r="F32" s="110" t="s">
        <v>268</v>
      </c>
      <c r="G32" s="110">
        <v>0</v>
      </c>
      <c r="H32" s="110">
        <v>4</v>
      </c>
      <c r="I32" s="121"/>
      <c r="J32" s="122">
        <v>32471</v>
      </c>
      <c r="K32" s="77" t="s">
        <v>898</v>
      </c>
      <c r="L32" s="77">
        <v>1</v>
      </c>
    </row>
    <row r="33" spans="1:12" x14ac:dyDescent="0.2">
      <c r="A33" s="10">
        <f t="shared" si="0"/>
        <v>32</v>
      </c>
      <c r="B33" s="128">
        <v>39942</v>
      </c>
      <c r="C33" s="77" t="s">
        <v>899</v>
      </c>
      <c r="D33" s="110" t="s">
        <v>900</v>
      </c>
      <c r="E33" s="77" t="s">
        <v>748</v>
      </c>
      <c r="F33" s="110" t="s">
        <v>268</v>
      </c>
      <c r="G33" s="110">
        <v>0</v>
      </c>
      <c r="H33" s="110">
        <v>2</v>
      </c>
      <c r="I33" s="121"/>
      <c r="J33" s="122">
        <v>27102</v>
      </c>
      <c r="K33" s="77" t="s">
        <v>924</v>
      </c>
      <c r="L33" s="77">
        <v>1</v>
      </c>
    </row>
    <row r="34" spans="1:12" x14ac:dyDescent="0.2">
      <c r="A34" s="10">
        <f>A33+1</f>
        <v>33</v>
      </c>
      <c r="B34" s="128">
        <v>40314</v>
      </c>
      <c r="C34" s="77" t="s">
        <v>976</v>
      </c>
      <c r="D34" s="110" t="s">
        <v>900</v>
      </c>
      <c r="E34" s="77" t="s">
        <v>977</v>
      </c>
      <c r="F34" s="110" t="s">
        <v>268</v>
      </c>
      <c r="G34" s="110">
        <v>1</v>
      </c>
      <c r="H34" s="110">
        <v>3</v>
      </c>
      <c r="I34" s="121"/>
      <c r="J34" s="122">
        <v>42669</v>
      </c>
      <c r="K34" s="77" t="s">
        <v>978</v>
      </c>
      <c r="L34" s="77">
        <v>1</v>
      </c>
    </row>
    <row r="35" spans="1:12" x14ac:dyDescent="0.2">
      <c r="A35" s="10">
        <f>A34+1</f>
        <v>34</v>
      </c>
      <c r="B35" s="128">
        <v>41049</v>
      </c>
      <c r="C35" s="77" t="s">
        <v>976</v>
      </c>
      <c r="D35" s="110" t="s">
        <v>900</v>
      </c>
      <c r="E35" s="77" t="s">
        <v>483</v>
      </c>
      <c r="F35" s="110" t="s">
        <v>281</v>
      </c>
      <c r="G35" s="110">
        <v>2</v>
      </c>
      <c r="H35" s="110">
        <v>1</v>
      </c>
      <c r="I35" s="121"/>
      <c r="J35" s="122">
        <v>39265</v>
      </c>
      <c r="K35" s="77"/>
      <c r="L35" s="77">
        <v>1</v>
      </c>
    </row>
    <row r="36" spans="1:12" x14ac:dyDescent="0.2">
      <c r="A36" s="10">
        <f>A35+1</f>
        <v>35</v>
      </c>
      <c r="B36" s="128">
        <v>42876</v>
      </c>
      <c r="C36" s="77" t="s">
        <v>899</v>
      </c>
      <c r="D36" s="110" t="s">
        <v>900</v>
      </c>
      <c r="E36" s="77" t="s">
        <v>1089</v>
      </c>
      <c r="F36" s="110" t="s">
        <v>281</v>
      </c>
      <c r="G36" s="110">
        <v>3</v>
      </c>
      <c r="H36" s="110">
        <v>2</v>
      </c>
      <c r="I36" s="121"/>
      <c r="J36" s="122">
        <v>38224</v>
      </c>
      <c r="K36" s="77" t="s">
        <v>1092</v>
      </c>
      <c r="L36" s="77">
        <v>1</v>
      </c>
    </row>
    <row r="37" spans="1:12" x14ac:dyDescent="0.2">
      <c r="B37" s="114"/>
      <c r="C37" s="115"/>
      <c r="D37" s="30"/>
      <c r="E37" s="29"/>
      <c r="F37" s="30"/>
      <c r="G37" s="30"/>
      <c r="H37" s="30"/>
      <c r="I37" s="30"/>
      <c r="J37" s="116"/>
      <c r="K37" s="10"/>
      <c r="L37" s="4"/>
    </row>
    <row r="38" spans="1:12" x14ac:dyDescent="0.2">
      <c r="A38" s="10"/>
      <c r="B38" s="117"/>
      <c r="C38" s="22"/>
      <c r="D38" s="118"/>
      <c r="E38" s="22"/>
      <c r="F38" s="118"/>
      <c r="G38" s="118"/>
      <c r="H38" s="118"/>
      <c r="I38" s="118"/>
      <c r="J38" s="119"/>
      <c r="K38" s="10"/>
      <c r="L38" s="4"/>
    </row>
    <row r="39" spans="1:12" x14ac:dyDescent="0.2">
      <c r="A39" s="10"/>
      <c r="B39" s="117"/>
      <c r="C39" s="21" t="s">
        <v>922</v>
      </c>
      <c r="D39" s="118"/>
      <c r="E39" s="22"/>
      <c r="F39" s="118"/>
      <c r="G39" s="118"/>
      <c r="H39" s="118"/>
      <c r="I39" s="118"/>
      <c r="J39" s="119"/>
      <c r="L39" s="4"/>
    </row>
    <row r="40" spans="1:12" x14ac:dyDescent="0.2">
      <c r="A40" s="10">
        <f t="shared" ref="A40:A48" si="1">A39+1</f>
        <v>1</v>
      </c>
      <c r="B40" s="120">
        <v>20174</v>
      </c>
      <c r="C40" s="77" t="s">
        <v>870</v>
      </c>
      <c r="D40" s="110" t="s">
        <v>877</v>
      </c>
      <c r="E40" s="77" t="s">
        <v>866</v>
      </c>
      <c r="F40" s="110" t="s">
        <v>254</v>
      </c>
      <c r="G40" s="110">
        <v>1</v>
      </c>
      <c r="H40" s="110">
        <v>1</v>
      </c>
      <c r="I40" s="121"/>
      <c r="J40" s="129">
        <v>65000</v>
      </c>
      <c r="K40" s="77" t="s">
        <v>892</v>
      </c>
    </row>
    <row r="41" spans="1:12" x14ac:dyDescent="0.2">
      <c r="A41" s="10">
        <f t="shared" si="1"/>
        <v>2</v>
      </c>
      <c r="B41" s="120">
        <v>20178</v>
      </c>
      <c r="C41" s="77" t="s">
        <v>876</v>
      </c>
      <c r="D41" s="110" t="s">
        <v>878</v>
      </c>
      <c r="E41" s="77" t="s">
        <v>866</v>
      </c>
      <c r="F41" s="110" t="s">
        <v>268</v>
      </c>
      <c r="G41" s="110">
        <v>0</v>
      </c>
      <c r="H41" s="110">
        <v>2</v>
      </c>
      <c r="I41" s="121"/>
      <c r="J41" s="129">
        <v>58239</v>
      </c>
      <c r="K41" s="77"/>
    </row>
    <row r="42" spans="1:12" x14ac:dyDescent="0.2">
      <c r="A42" s="10">
        <f t="shared" si="1"/>
        <v>3</v>
      </c>
      <c r="B42" s="120">
        <v>13948</v>
      </c>
      <c r="C42" s="77" t="s">
        <v>872</v>
      </c>
      <c r="D42" s="110" t="s">
        <v>261</v>
      </c>
      <c r="E42" s="77" t="s">
        <v>494</v>
      </c>
      <c r="F42" s="110" t="s">
        <v>268</v>
      </c>
      <c r="G42" s="110">
        <v>1</v>
      </c>
      <c r="H42" s="110">
        <v>2</v>
      </c>
      <c r="I42" s="121"/>
      <c r="J42" s="129">
        <v>58066</v>
      </c>
      <c r="K42" s="77" t="s">
        <v>894</v>
      </c>
    </row>
    <row r="43" spans="1:12" x14ac:dyDescent="0.2">
      <c r="A43" s="10">
        <f t="shared" si="1"/>
        <v>4</v>
      </c>
      <c r="B43" s="120">
        <v>20160</v>
      </c>
      <c r="C43" s="77" t="s">
        <v>875</v>
      </c>
      <c r="D43" s="110" t="s">
        <v>261</v>
      </c>
      <c r="E43" s="77" t="s">
        <v>869</v>
      </c>
      <c r="F43" s="110" t="s">
        <v>281</v>
      </c>
      <c r="G43" s="110">
        <v>1</v>
      </c>
      <c r="H43" s="110">
        <v>0</v>
      </c>
      <c r="I43" s="121"/>
      <c r="J43" s="129">
        <v>47301</v>
      </c>
      <c r="K43" s="77" t="s">
        <v>918</v>
      </c>
    </row>
    <row r="44" spans="1:12" x14ac:dyDescent="0.2">
      <c r="A44" s="10">
        <f t="shared" si="1"/>
        <v>5</v>
      </c>
      <c r="B44" s="120">
        <v>27482</v>
      </c>
      <c r="C44" s="77" t="s">
        <v>882</v>
      </c>
      <c r="D44" s="110" t="s">
        <v>261</v>
      </c>
      <c r="E44" s="77" t="s">
        <v>883</v>
      </c>
      <c r="F44" s="110" t="s">
        <v>268</v>
      </c>
      <c r="G44" s="110">
        <v>1</v>
      </c>
      <c r="H44" s="110">
        <v>2</v>
      </c>
      <c r="I44" s="121"/>
      <c r="J44" s="129">
        <v>46802</v>
      </c>
      <c r="K44" s="77" t="s">
        <v>893</v>
      </c>
      <c r="L44" s="77">
        <v>1</v>
      </c>
    </row>
    <row r="45" spans="1:12" x14ac:dyDescent="0.2">
      <c r="A45" s="10">
        <f t="shared" si="1"/>
        <v>6</v>
      </c>
      <c r="B45" s="120">
        <v>20486</v>
      </c>
      <c r="C45" s="77" t="s">
        <v>879</v>
      </c>
      <c r="D45" s="110" t="s">
        <v>261</v>
      </c>
      <c r="E45" s="77" t="s">
        <v>501</v>
      </c>
      <c r="F45" s="110" t="s">
        <v>268</v>
      </c>
      <c r="G45" s="110">
        <v>1</v>
      </c>
      <c r="H45" s="110">
        <v>2</v>
      </c>
      <c r="I45" s="121"/>
      <c r="J45" s="129">
        <v>43928</v>
      </c>
      <c r="K45" s="77" t="s">
        <v>895</v>
      </c>
    </row>
    <row r="46" spans="1:12" x14ac:dyDescent="0.2">
      <c r="A46" s="10">
        <f t="shared" si="1"/>
        <v>7</v>
      </c>
      <c r="B46" s="120">
        <v>31098</v>
      </c>
      <c r="C46" s="77" t="s">
        <v>884</v>
      </c>
      <c r="D46" s="110" t="s">
        <v>261</v>
      </c>
      <c r="E46" s="77" t="s">
        <v>612</v>
      </c>
      <c r="F46" s="110" t="s">
        <v>268</v>
      </c>
      <c r="G46" s="110">
        <v>0</v>
      </c>
      <c r="H46" s="110">
        <v>7</v>
      </c>
      <c r="I46" s="121"/>
      <c r="J46" s="129">
        <v>43010</v>
      </c>
      <c r="K46" s="77" t="s">
        <v>897</v>
      </c>
      <c r="L46" s="77">
        <v>1</v>
      </c>
    </row>
    <row r="47" spans="1:12" x14ac:dyDescent="0.2">
      <c r="A47" s="10">
        <f t="shared" si="1"/>
        <v>8</v>
      </c>
      <c r="B47" s="120">
        <v>40314</v>
      </c>
      <c r="C47" s="77" t="s">
        <v>976</v>
      </c>
      <c r="D47" s="110" t="s">
        <v>900</v>
      </c>
      <c r="E47" s="77" t="s">
        <v>977</v>
      </c>
      <c r="F47" s="110" t="s">
        <v>268</v>
      </c>
      <c r="G47" s="110">
        <v>1</v>
      </c>
      <c r="H47" s="110">
        <v>3</v>
      </c>
      <c r="I47" s="121"/>
      <c r="J47" s="129">
        <v>42669</v>
      </c>
      <c r="K47" s="77" t="s">
        <v>978</v>
      </c>
      <c r="L47" s="77">
        <v>1</v>
      </c>
    </row>
    <row r="48" spans="1:12" x14ac:dyDescent="0.2">
      <c r="A48" s="10">
        <f t="shared" si="1"/>
        <v>9</v>
      </c>
      <c r="B48" s="120">
        <v>17994</v>
      </c>
      <c r="C48" s="77" t="s">
        <v>874</v>
      </c>
      <c r="D48" s="110" t="s">
        <v>261</v>
      </c>
      <c r="E48" s="77" t="s">
        <v>495</v>
      </c>
      <c r="F48" s="110" t="s">
        <v>281</v>
      </c>
      <c r="G48" s="110">
        <v>3</v>
      </c>
      <c r="H48" s="110">
        <v>2</v>
      </c>
      <c r="I48" s="121"/>
      <c r="J48" s="129">
        <v>40002</v>
      </c>
      <c r="K48" s="77" t="s">
        <v>917</v>
      </c>
    </row>
    <row r="49" spans="1:12" x14ac:dyDescent="0.2">
      <c r="A49" s="10">
        <f t="shared" ref="A49:A74" si="2">A48+1</f>
        <v>10</v>
      </c>
      <c r="B49" s="120">
        <v>41049</v>
      </c>
      <c r="C49" s="77" t="s">
        <v>976</v>
      </c>
      <c r="D49" s="110" t="s">
        <v>900</v>
      </c>
      <c r="E49" s="77" t="s">
        <v>483</v>
      </c>
      <c r="F49" s="110" t="s">
        <v>281</v>
      </c>
      <c r="G49" s="110">
        <v>2</v>
      </c>
      <c r="H49" s="110">
        <v>1</v>
      </c>
      <c r="I49" s="121"/>
      <c r="J49" s="129">
        <v>39265</v>
      </c>
      <c r="K49" s="77"/>
      <c r="L49" s="77">
        <v>1</v>
      </c>
    </row>
    <row r="50" spans="1:12" x14ac:dyDescent="0.2">
      <c r="A50" s="10">
        <f t="shared" si="2"/>
        <v>11</v>
      </c>
      <c r="B50" s="120">
        <v>10969</v>
      </c>
      <c r="C50" s="77" t="s">
        <v>871</v>
      </c>
      <c r="D50" s="110" t="s">
        <v>261</v>
      </c>
      <c r="E50" s="77" t="s">
        <v>866</v>
      </c>
      <c r="F50" s="110" t="s">
        <v>254</v>
      </c>
      <c r="G50" s="110">
        <v>1</v>
      </c>
      <c r="H50" s="110">
        <v>1</v>
      </c>
      <c r="I50" s="121"/>
      <c r="J50" s="129">
        <v>38674</v>
      </c>
      <c r="K50" s="77" t="s">
        <v>919</v>
      </c>
    </row>
    <row r="51" spans="1:12" x14ac:dyDescent="0.2">
      <c r="A51" s="10">
        <f t="shared" si="2"/>
        <v>12</v>
      </c>
      <c r="B51" s="120">
        <v>25592</v>
      </c>
      <c r="C51" s="77" t="s">
        <v>881</v>
      </c>
      <c r="D51" s="110" t="s">
        <v>261</v>
      </c>
      <c r="E51" s="77" t="s">
        <v>400</v>
      </c>
      <c r="F51" s="110" t="s">
        <v>268</v>
      </c>
      <c r="G51" s="110">
        <v>1</v>
      </c>
      <c r="H51" s="110">
        <v>4</v>
      </c>
      <c r="I51" s="121"/>
      <c r="J51" s="129">
        <v>38283</v>
      </c>
      <c r="K51" s="77"/>
      <c r="L51" s="77">
        <v>1</v>
      </c>
    </row>
    <row r="52" spans="1:12" x14ac:dyDescent="0.2">
      <c r="A52" s="10">
        <f t="shared" si="2"/>
        <v>13</v>
      </c>
      <c r="B52" s="120">
        <v>42876</v>
      </c>
      <c r="C52" s="77" t="s">
        <v>899</v>
      </c>
      <c r="D52" s="110" t="s">
        <v>900</v>
      </c>
      <c r="E52" s="77" t="s">
        <v>1089</v>
      </c>
      <c r="F52" s="110" t="s">
        <v>281</v>
      </c>
      <c r="G52" s="110">
        <v>3</v>
      </c>
      <c r="H52" s="110">
        <v>2</v>
      </c>
      <c r="I52" s="121"/>
      <c r="J52" s="129">
        <v>38224</v>
      </c>
      <c r="K52" s="77" t="s">
        <v>1092</v>
      </c>
      <c r="L52" s="77">
        <v>1</v>
      </c>
    </row>
    <row r="53" spans="1:12" x14ac:dyDescent="0.2">
      <c r="A53" s="10">
        <f t="shared" si="2"/>
        <v>14</v>
      </c>
      <c r="B53" s="120">
        <v>27389</v>
      </c>
      <c r="C53" s="77" t="s">
        <v>882</v>
      </c>
      <c r="D53" s="110" t="s">
        <v>261</v>
      </c>
      <c r="E53" s="77" t="s">
        <v>501</v>
      </c>
      <c r="F53" s="110" t="s">
        <v>268</v>
      </c>
      <c r="G53" s="110">
        <v>0</v>
      </c>
      <c r="H53" s="110">
        <v>2</v>
      </c>
      <c r="I53" s="121"/>
      <c r="J53" s="129">
        <v>35367</v>
      </c>
      <c r="K53" s="77"/>
      <c r="L53" s="77">
        <v>1</v>
      </c>
    </row>
    <row r="54" spans="1:12" x14ac:dyDescent="0.2">
      <c r="A54" s="10">
        <f t="shared" si="2"/>
        <v>15</v>
      </c>
      <c r="B54" s="120">
        <v>15813</v>
      </c>
      <c r="C54" s="77" t="s">
        <v>887</v>
      </c>
      <c r="D54" s="110" t="s">
        <v>261</v>
      </c>
      <c r="E54" s="77" t="s">
        <v>868</v>
      </c>
      <c r="F54" s="110" t="s">
        <v>268</v>
      </c>
      <c r="G54" s="110">
        <v>0</v>
      </c>
      <c r="H54" s="110">
        <v>3</v>
      </c>
      <c r="I54" s="121"/>
      <c r="J54" s="129">
        <v>35253</v>
      </c>
      <c r="K54" s="77" t="s">
        <v>890</v>
      </c>
    </row>
    <row r="55" spans="1:12" x14ac:dyDescent="0.2">
      <c r="A55" s="10">
        <f t="shared" si="2"/>
        <v>16</v>
      </c>
      <c r="B55" s="120">
        <v>21214</v>
      </c>
      <c r="C55" s="77" t="s">
        <v>879</v>
      </c>
      <c r="D55" s="110" t="s">
        <v>261</v>
      </c>
      <c r="E55" s="77" t="s">
        <v>880</v>
      </c>
      <c r="F55" s="110" t="s">
        <v>268</v>
      </c>
      <c r="G55" s="110">
        <v>0</v>
      </c>
      <c r="H55" s="110">
        <v>3</v>
      </c>
      <c r="I55" s="121"/>
      <c r="J55" s="129">
        <v>34062</v>
      </c>
      <c r="K55" s="77" t="s">
        <v>896</v>
      </c>
    </row>
    <row r="56" spans="1:12" x14ac:dyDescent="0.2">
      <c r="A56" s="10">
        <f t="shared" si="2"/>
        <v>17</v>
      </c>
      <c r="B56" s="120">
        <v>27849</v>
      </c>
      <c r="C56" s="77" t="s">
        <v>882</v>
      </c>
      <c r="D56" s="110" t="s">
        <v>261</v>
      </c>
      <c r="E56" s="77" t="s">
        <v>501</v>
      </c>
      <c r="F56" s="110" t="s">
        <v>268</v>
      </c>
      <c r="G56" s="110">
        <v>0</v>
      </c>
      <c r="H56" s="110">
        <v>1</v>
      </c>
      <c r="I56" s="121"/>
      <c r="J56" s="129">
        <v>33462</v>
      </c>
      <c r="K56" s="77"/>
    </row>
    <row r="57" spans="1:12" x14ac:dyDescent="0.2">
      <c r="A57" s="10">
        <f t="shared" si="2"/>
        <v>18</v>
      </c>
      <c r="B57" s="120">
        <v>16828</v>
      </c>
      <c r="C57" s="77" t="s">
        <v>873</v>
      </c>
      <c r="D57" s="110" t="s">
        <v>261</v>
      </c>
      <c r="E57" s="77" t="s">
        <v>868</v>
      </c>
      <c r="F57" s="110" t="s">
        <v>268</v>
      </c>
      <c r="G57" s="110">
        <v>1</v>
      </c>
      <c r="H57" s="110">
        <v>5</v>
      </c>
      <c r="I57" s="121"/>
      <c r="J57" s="129">
        <v>33363</v>
      </c>
      <c r="K57" s="77" t="s">
        <v>891</v>
      </c>
    </row>
    <row r="58" spans="1:12" x14ac:dyDescent="0.2">
      <c r="A58" s="10">
        <f t="shared" si="2"/>
        <v>19</v>
      </c>
      <c r="B58" s="120">
        <v>36288</v>
      </c>
      <c r="C58" s="77" t="s">
        <v>886</v>
      </c>
      <c r="D58" s="110" t="s">
        <v>261</v>
      </c>
      <c r="E58" s="77" t="s">
        <v>885</v>
      </c>
      <c r="F58" s="110" t="s">
        <v>268</v>
      </c>
      <c r="G58" s="110">
        <v>0</v>
      </c>
      <c r="H58" s="110">
        <v>4</v>
      </c>
      <c r="I58" s="121"/>
      <c r="J58" s="129">
        <v>32471</v>
      </c>
      <c r="K58" s="77" t="s">
        <v>898</v>
      </c>
      <c r="L58" s="77">
        <v>1</v>
      </c>
    </row>
    <row r="59" spans="1:12" x14ac:dyDescent="0.2">
      <c r="A59" s="10">
        <f t="shared" si="2"/>
        <v>20</v>
      </c>
      <c r="B59" s="120">
        <v>17626</v>
      </c>
      <c r="C59" s="77" t="s">
        <v>874</v>
      </c>
      <c r="D59" s="110" t="s">
        <v>261</v>
      </c>
      <c r="E59" s="77" t="s">
        <v>495</v>
      </c>
      <c r="F59" s="110" t="s">
        <v>254</v>
      </c>
      <c r="G59" s="110">
        <v>1</v>
      </c>
      <c r="H59" s="110">
        <v>1</v>
      </c>
      <c r="I59" s="121"/>
      <c r="J59" s="129">
        <v>32466</v>
      </c>
      <c r="K59" s="77"/>
    </row>
    <row r="60" spans="1:12" x14ac:dyDescent="0.2">
      <c r="A60" s="10">
        <f t="shared" si="2"/>
        <v>21</v>
      </c>
      <c r="B60" s="120">
        <v>11333</v>
      </c>
      <c r="C60" s="77" t="s">
        <v>871</v>
      </c>
      <c r="D60" s="110" t="s">
        <v>261</v>
      </c>
      <c r="E60" s="77" t="s">
        <v>867</v>
      </c>
      <c r="F60" s="110" t="s">
        <v>254</v>
      </c>
      <c r="G60" s="110">
        <v>1</v>
      </c>
      <c r="H60" s="110">
        <v>1</v>
      </c>
      <c r="I60" s="121"/>
      <c r="J60" s="129">
        <v>31821</v>
      </c>
      <c r="K60" s="77" t="s">
        <v>920</v>
      </c>
    </row>
    <row r="61" spans="1:12" x14ac:dyDescent="0.2">
      <c r="A61" s="10">
        <f t="shared" si="2"/>
        <v>22</v>
      </c>
      <c r="B61" s="120">
        <v>26211</v>
      </c>
      <c r="C61" s="77" t="s">
        <v>909</v>
      </c>
      <c r="D61" s="110" t="s">
        <v>261</v>
      </c>
      <c r="E61" s="77" t="s">
        <v>867</v>
      </c>
      <c r="F61" s="110" t="s">
        <v>268</v>
      </c>
      <c r="G61" s="110">
        <v>2</v>
      </c>
      <c r="H61" s="110">
        <v>3</v>
      </c>
      <c r="I61" s="121"/>
      <c r="J61" s="129">
        <v>29828</v>
      </c>
      <c r="K61" s="77" t="s">
        <v>921</v>
      </c>
    </row>
    <row r="62" spans="1:12" x14ac:dyDescent="0.2">
      <c r="A62" s="10">
        <f t="shared" si="2"/>
        <v>23</v>
      </c>
      <c r="B62" s="120">
        <v>31461</v>
      </c>
      <c r="C62" s="77" t="s">
        <v>884</v>
      </c>
      <c r="D62" s="110" t="s">
        <v>261</v>
      </c>
      <c r="E62" s="77" t="s">
        <v>612</v>
      </c>
      <c r="F62" s="110" t="s">
        <v>268</v>
      </c>
      <c r="G62" s="110">
        <v>1</v>
      </c>
      <c r="H62" s="110">
        <v>3</v>
      </c>
      <c r="I62" s="121"/>
      <c r="J62" s="129">
        <v>29362</v>
      </c>
      <c r="K62" s="77" t="s">
        <v>915</v>
      </c>
      <c r="L62" s="77">
        <v>1</v>
      </c>
    </row>
    <row r="63" spans="1:12" x14ac:dyDescent="0.2">
      <c r="A63" s="10">
        <f t="shared" si="2"/>
        <v>24</v>
      </c>
      <c r="B63" s="120">
        <v>34962</v>
      </c>
      <c r="C63" s="77" t="s">
        <v>910</v>
      </c>
      <c r="D63" s="110" t="s">
        <v>261</v>
      </c>
      <c r="E63" s="77" t="s">
        <v>883</v>
      </c>
      <c r="F63" s="110" t="s">
        <v>281</v>
      </c>
      <c r="G63" s="110">
        <v>3</v>
      </c>
      <c r="H63" s="110">
        <v>0</v>
      </c>
      <c r="I63" s="121"/>
      <c r="J63" s="129">
        <v>29049</v>
      </c>
      <c r="K63" s="77" t="s">
        <v>916</v>
      </c>
      <c r="L63" s="77">
        <v>1</v>
      </c>
    </row>
    <row r="64" spans="1:12" x14ac:dyDescent="0.2">
      <c r="A64" s="10">
        <f t="shared" si="2"/>
        <v>25</v>
      </c>
      <c r="B64" s="120">
        <v>13944</v>
      </c>
      <c r="C64" s="77" t="s">
        <v>875</v>
      </c>
      <c r="D64" s="110" t="s">
        <v>252</v>
      </c>
      <c r="E64" s="77" t="s">
        <v>901</v>
      </c>
      <c r="F64" s="110" t="s">
        <v>254</v>
      </c>
      <c r="G64" s="110">
        <v>0</v>
      </c>
      <c r="H64" s="110">
        <v>0</v>
      </c>
      <c r="I64" s="121"/>
      <c r="J64" s="129">
        <v>28123</v>
      </c>
      <c r="K64" s="77" t="s">
        <v>911</v>
      </c>
    </row>
    <row r="65" spans="1:12" x14ac:dyDescent="0.2">
      <c r="A65" s="10">
        <f t="shared" si="2"/>
        <v>26</v>
      </c>
      <c r="B65" s="120">
        <v>22292</v>
      </c>
      <c r="C65" s="77" t="s">
        <v>908</v>
      </c>
      <c r="D65" s="110" t="s">
        <v>261</v>
      </c>
      <c r="E65" s="77" t="s">
        <v>903</v>
      </c>
      <c r="F65" s="110" t="s">
        <v>268</v>
      </c>
      <c r="G65" s="110">
        <v>0</v>
      </c>
      <c r="H65" s="110">
        <v>1</v>
      </c>
      <c r="I65" s="121"/>
      <c r="J65" s="129">
        <v>27438</v>
      </c>
      <c r="K65" s="77" t="s">
        <v>912</v>
      </c>
      <c r="L65" s="4"/>
    </row>
    <row r="66" spans="1:12" x14ac:dyDescent="0.2">
      <c r="A66" s="10">
        <f t="shared" si="2"/>
        <v>27</v>
      </c>
      <c r="B66" s="120">
        <v>39942</v>
      </c>
      <c r="C66" s="77" t="s">
        <v>899</v>
      </c>
      <c r="D66" s="110" t="s">
        <v>900</v>
      </c>
      <c r="E66" s="77" t="s">
        <v>748</v>
      </c>
      <c r="F66" s="110" t="s">
        <v>268</v>
      </c>
      <c r="G66" s="110">
        <v>0</v>
      </c>
      <c r="H66" s="110">
        <v>2</v>
      </c>
      <c r="I66" s="121"/>
      <c r="J66" s="129">
        <v>27102</v>
      </c>
      <c r="K66" s="77" t="s">
        <v>924</v>
      </c>
      <c r="L66" s="77">
        <v>1</v>
      </c>
    </row>
    <row r="67" spans="1:12" x14ac:dyDescent="0.2">
      <c r="A67" s="10">
        <f t="shared" si="2"/>
        <v>28</v>
      </c>
      <c r="B67" s="120">
        <v>27398</v>
      </c>
      <c r="C67" s="77" t="s">
        <v>871</v>
      </c>
      <c r="D67" s="110" t="s">
        <v>261</v>
      </c>
      <c r="E67" s="77" t="s">
        <v>905</v>
      </c>
      <c r="F67" s="110" t="s">
        <v>254</v>
      </c>
      <c r="G67" s="110">
        <v>1</v>
      </c>
      <c r="H67" s="110">
        <v>1</v>
      </c>
      <c r="I67" s="121"/>
      <c r="J67" s="129">
        <v>27029</v>
      </c>
      <c r="K67" s="77" t="s">
        <v>914</v>
      </c>
      <c r="L67" s="77">
        <v>1</v>
      </c>
    </row>
    <row r="68" spans="1:12" x14ac:dyDescent="0.2">
      <c r="A68" s="10">
        <f t="shared" si="2"/>
        <v>29</v>
      </c>
      <c r="B68" s="120">
        <v>22008</v>
      </c>
      <c r="C68" s="77" t="s">
        <v>907</v>
      </c>
      <c r="D68" s="110" t="s">
        <v>261</v>
      </c>
      <c r="E68" s="77" t="s">
        <v>903</v>
      </c>
      <c r="F68" s="110" t="s">
        <v>268</v>
      </c>
      <c r="G68" s="110">
        <v>0</v>
      </c>
      <c r="H68" s="110">
        <v>1</v>
      </c>
      <c r="I68" s="121"/>
      <c r="J68" s="129">
        <v>26952</v>
      </c>
      <c r="K68" s="10"/>
    </row>
    <row r="69" spans="1:12" x14ac:dyDescent="0.2">
      <c r="A69" s="10">
        <f t="shared" si="2"/>
        <v>30</v>
      </c>
      <c r="B69" s="120">
        <v>26334</v>
      </c>
      <c r="C69" s="77" t="s">
        <v>907</v>
      </c>
      <c r="D69" s="110" t="s">
        <v>261</v>
      </c>
      <c r="E69" s="77" t="s">
        <v>904</v>
      </c>
      <c r="F69" s="110" t="s">
        <v>268</v>
      </c>
      <c r="G69" s="110">
        <v>0</v>
      </c>
      <c r="H69" s="110">
        <v>1</v>
      </c>
      <c r="I69" s="121"/>
      <c r="J69" s="129">
        <v>26905</v>
      </c>
      <c r="K69" s="10"/>
      <c r="L69" s="4"/>
    </row>
    <row r="70" spans="1:12" x14ac:dyDescent="0.2">
      <c r="A70" s="10">
        <f t="shared" si="2"/>
        <v>31</v>
      </c>
      <c r="B70" s="120">
        <v>18634</v>
      </c>
      <c r="C70" s="77" t="s">
        <v>871</v>
      </c>
      <c r="D70" s="110" t="s">
        <v>261</v>
      </c>
      <c r="E70" s="77" t="s">
        <v>880</v>
      </c>
      <c r="F70" s="110" t="s">
        <v>268</v>
      </c>
      <c r="G70" s="110">
        <v>0</v>
      </c>
      <c r="H70" s="110">
        <v>2</v>
      </c>
      <c r="I70" s="121"/>
      <c r="J70" s="129">
        <v>26652</v>
      </c>
      <c r="K70" s="10"/>
    </row>
    <row r="71" spans="1:12" x14ac:dyDescent="0.2">
      <c r="A71" s="10">
        <f t="shared" si="2"/>
        <v>32</v>
      </c>
      <c r="B71" s="120">
        <v>20097</v>
      </c>
      <c r="C71" s="77" t="s">
        <v>871</v>
      </c>
      <c r="D71" s="110" t="s">
        <v>261</v>
      </c>
      <c r="E71" s="77" t="s">
        <v>286</v>
      </c>
      <c r="F71" s="110" t="s">
        <v>281</v>
      </c>
      <c r="G71" s="110">
        <v>2</v>
      </c>
      <c r="H71" s="110">
        <v>0</v>
      </c>
      <c r="I71" s="121"/>
      <c r="J71" s="129">
        <v>26030</v>
      </c>
      <c r="K71" s="10"/>
    </row>
    <row r="72" spans="1:12" x14ac:dyDescent="0.2">
      <c r="A72" s="10">
        <f t="shared" si="2"/>
        <v>33</v>
      </c>
      <c r="B72" s="120">
        <v>20461</v>
      </c>
      <c r="C72" s="77" t="s">
        <v>871</v>
      </c>
      <c r="D72" s="110" t="s">
        <v>261</v>
      </c>
      <c r="E72" s="77" t="s">
        <v>902</v>
      </c>
      <c r="F72" s="110" t="s">
        <v>281</v>
      </c>
      <c r="G72" s="110">
        <v>2</v>
      </c>
      <c r="H72" s="110">
        <v>1</v>
      </c>
      <c r="I72" s="121"/>
      <c r="J72" s="129">
        <v>25636</v>
      </c>
      <c r="K72" s="10"/>
    </row>
    <row r="73" spans="1:12" x14ac:dyDescent="0.2">
      <c r="A73" s="10">
        <f t="shared" si="2"/>
        <v>34</v>
      </c>
      <c r="B73" s="120">
        <v>28882</v>
      </c>
      <c r="C73" s="77" t="s">
        <v>881</v>
      </c>
      <c r="D73" s="110" t="s">
        <v>261</v>
      </c>
      <c r="E73" s="77" t="s">
        <v>906</v>
      </c>
      <c r="F73" s="110" t="s">
        <v>268</v>
      </c>
      <c r="G73" s="110">
        <v>1</v>
      </c>
      <c r="H73" s="110">
        <v>3</v>
      </c>
      <c r="I73" s="121"/>
      <c r="J73" s="129">
        <v>25228</v>
      </c>
      <c r="K73" s="10"/>
      <c r="L73" s="77">
        <v>1</v>
      </c>
    </row>
    <row r="74" spans="1:12" x14ac:dyDescent="0.2">
      <c r="A74" s="10">
        <f t="shared" si="2"/>
        <v>35</v>
      </c>
      <c r="B74" s="120">
        <v>25965</v>
      </c>
      <c r="C74" s="77" t="s">
        <v>879</v>
      </c>
      <c r="D74" s="110" t="s">
        <v>261</v>
      </c>
      <c r="E74" s="77" t="s">
        <v>635</v>
      </c>
      <c r="F74" s="110" t="s">
        <v>268</v>
      </c>
      <c r="G74" s="110">
        <v>2</v>
      </c>
      <c r="H74" s="110">
        <v>3</v>
      </c>
      <c r="I74" s="121"/>
      <c r="J74" s="129">
        <v>25034</v>
      </c>
      <c r="K74" s="77" t="s">
        <v>913</v>
      </c>
      <c r="L74" s="126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3"/>
  <sheetViews>
    <sheetView zoomScale="120" zoomScaleNormal="120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A53" sqref="A53"/>
    </sheetView>
  </sheetViews>
  <sheetFormatPr defaultColWidth="9.140625" defaultRowHeight="11.25" x14ac:dyDescent="0.2"/>
  <cols>
    <col min="1" max="1" width="9.140625" style="2"/>
    <col min="2" max="2" width="12.42578125" style="2" bestFit="1" customWidth="1"/>
    <col min="3" max="16384" width="9.140625" style="2"/>
  </cols>
  <sheetData>
    <row r="1" spans="1:2" x14ac:dyDescent="0.2">
      <c r="A1" s="1" t="s">
        <v>61</v>
      </c>
      <c r="B1" s="1" t="s">
        <v>227</v>
      </c>
    </row>
    <row r="2" spans="1:2" x14ac:dyDescent="0.2">
      <c r="A2" s="1" t="s">
        <v>107</v>
      </c>
      <c r="B2" s="2" t="s">
        <v>204</v>
      </c>
    </row>
    <row r="3" spans="1:2" x14ac:dyDescent="0.2">
      <c r="A3" s="1" t="s">
        <v>108</v>
      </c>
      <c r="B3" s="2" t="s">
        <v>205</v>
      </c>
    </row>
    <row r="4" spans="1:2" x14ac:dyDescent="0.2">
      <c r="A4" s="1" t="s">
        <v>109</v>
      </c>
      <c r="B4" s="2" t="s">
        <v>206</v>
      </c>
    </row>
    <row r="5" spans="1:2" x14ac:dyDescent="0.2">
      <c r="A5" s="1" t="s">
        <v>110</v>
      </c>
      <c r="B5" s="2" t="s">
        <v>207</v>
      </c>
    </row>
    <row r="6" spans="1:2" x14ac:dyDescent="0.2">
      <c r="A6" s="1" t="s">
        <v>111</v>
      </c>
      <c r="B6" s="2" t="s">
        <v>208</v>
      </c>
    </row>
    <row r="7" spans="1:2" x14ac:dyDescent="0.2">
      <c r="A7" s="1" t="s">
        <v>112</v>
      </c>
      <c r="B7" s="2" t="s">
        <v>208</v>
      </c>
    </row>
    <row r="8" spans="1:2" x14ac:dyDescent="0.2">
      <c r="A8" s="1" t="s">
        <v>113</v>
      </c>
      <c r="B8" s="2" t="s">
        <v>209</v>
      </c>
    </row>
    <row r="9" spans="1:2" x14ac:dyDescent="0.2">
      <c r="A9" s="1" t="s">
        <v>114</v>
      </c>
      <c r="B9" s="2" t="s">
        <v>210</v>
      </c>
    </row>
    <row r="10" spans="1:2" x14ac:dyDescent="0.2">
      <c r="A10" s="1" t="s">
        <v>115</v>
      </c>
      <c r="B10" s="2" t="s">
        <v>211</v>
      </c>
    </row>
    <row r="11" spans="1:2" x14ac:dyDescent="0.2">
      <c r="A11" s="1" t="s">
        <v>116</v>
      </c>
      <c r="B11" s="2" t="s">
        <v>212</v>
      </c>
    </row>
    <row r="12" spans="1:2" x14ac:dyDescent="0.2">
      <c r="A12" s="1" t="s">
        <v>117</v>
      </c>
      <c r="B12" s="2" t="s">
        <v>213</v>
      </c>
    </row>
    <row r="13" spans="1:2" x14ac:dyDescent="0.2">
      <c r="A13" s="1" t="s">
        <v>118</v>
      </c>
      <c r="B13" s="2" t="s">
        <v>213</v>
      </c>
    </row>
    <row r="14" spans="1:2" x14ac:dyDescent="0.2">
      <c r="A14" s="1" t="s">
        <v>119</v>
      </c>
      <c r="B14" s="2" t="s">
        <v>214</v>
      </c>
    </row>
    <row r="15" spans="1:2" x14ac:dyDescent="0.2">
      <c r="A15" s="1" t="s">
        <v>120</v>
      </c>
      <c r="B15" s="2" t="s">
        <v>211</v>
      </c>
    </row>
    <row r="16" spans="1:2" x14ac:dyDescent="0.2">
      <c r="A16" s="1" t="s">
        <v>121</v>
      </c>
      <c r="B16" s="2" t="s">
        <v>215</v>
      </c>
    </row>
    <row r="17" spans="1:2" x14ac:dyDescent="0.2">
      <c r="A17" s="1" t="s">
        <v>122</v>
      </c>
      <c r="B17" s="2" t="s">
        <v>216</v>
      </c>
    </row>
    <row r="18" spans="1:2" x14ac:dyDescent="0.2">
      <c r="A18" s="1" t="s">
        <v>123</v>
      </c>
      <c r="B18" s="2" t="s">
        <v>217</v>
      </c>
    </row>
    <row r="19" spans="1:2" x14ac:dyDescent="0.2">
      <c r="A19" s="1" t="s">
        <v>124</v>
      </c>
      <c r="B19" s="2" t="s">
        <v>218</v>
      </c>
    </row>
    <row r="20" spans="1:2" x14ac:dyDescent="0.2">
      <c r="A20" s="1" t="s">
        <v>125</v>
      </c>
      <c r="B20" s="2" t="s">
        <v>219</v>
      </c>
    </row>
    <row r="21" spans="1:2" x14ac:dyDescent="0.2">
      <c r="A21" s="1" t="s">
        <v>126</v>
      </c>
      <c r="B21" s="2" t="s">
        <v>220</v>
      </c>
    </row>
    <row r="22" spans="1:2" x14ac:dyDescent="0.2">
      <c r="A22" s="1" t="s">
        <v>127</v>
      </c>
      <c r="B22" s="2" t="s">
        <v>221</v>
      </c>
    </row>
    <row r="23" spans="1:2" x14ac:dyDescent="0.2">
      <c r="A23" s="1" t="s">
        <v>128</v>
      </c>
      <c r="B23" s="2" t="s">
        <v>219</v>
      </c>
    </row>
    <row r="24" spans="1:2" x14ac:dyDescent="0.2">
      <c r="A24" s="1" t="s">
        <v>129</v>
      </c>
      <c r="B24" s="2" t="s">
        <v>222</v>
      </c>
    </row>
    <row r="25" spans="1:2" x14ac:dyDescent="0.2">
      <c r="A25" s="1" t="s">
        <v>51</v>
      </c>
      <c r="B25" s="2" t="s">
        <v>223</v>
      </c>
    </row>
    <row r="26" spans="1:2" x14ac:dyDescent="0.2">
      <c r="A26" s="1" t="s">
        <v>53</v>
      </c>
      <c r="B26" s="2" t="s">
        <v>224</v>
      </c>
    </row>
    <row r="27" spans="1:2" x14ac:dyDescent="0.2">
      <c r="A27" s="1" t="s">
        <v>130</v>
      </c>
      <c r="B27" s="2" t="s">
        <v>225</v>
      </c>
    </row>
    <row r="28" spans="1:2" x14ac:dyDescent="0.2">
      <c r="A28" s="1" t="s">
        <v>157</v>
      </c>
      <c r="B28" s="2" t="s">
        <v>225</v>
      </c>
    </row>
    <row r="29" spans="1:2" x14ac:dyDescent="0.2">
      <c r="A29" s="1" t="s">
        <v>161</v>
      </c>
      <c r="B29" s="2" t="s">
        <v>226</v>
      </c>
    </row>
    <row r="30" spans="1:2" x14ac:dyDescent="0.2">
      <c r="A30" s="1" t="s">
        <v>180</v>
      </c>
      <c r="B30" s="2" t="s">
        <v>226</v>
      </c>
    </row>
    <row r="31" spans="1:2" x14ac:dyDescent="0.2">
      <c r="A31" s="1" t="s">
        <v>181</v>
      </c>
      <c r="B31" s="2" t="s">
        <v>202</v>
      </c>
    </row>
    <row r="32" spans="1:2" x14ac:dyDescent="0.2">
      <c r="A32" s="1" t="s">
        <v>201</v>
      </c>
      <c r="B32" s="2" t="s">
        <v>228</v>
      </c>
    </row>
    <row r="33" spans="1:2" x14ac:dyDescent="0.2">
      <c r="A33" s="1" t="s">
        <v>229</v>
      </c>
      <c r="B33" s="2" t="s">
        <v>291</v>
      </c>
    </row>
    <row r="34" spans="1:2" x14ac:dyDescent="0.2">
      <c r="A34" s="1" t="s">
        <v>248</v>
      </c>
      <c r="B34" s="2" t="s">
        <v>358</v>
      </c>
    </row>
    <row r="35" spans="1:2" x14ac:dyDescent="0.2">
      <c r="A35" s="1" t="s">
        <v>322</v>
      </c>
      <c r="B35" s="2" t="s">
        <v>323</v>
      </c>
    </row>
    <row r="36" spans="1:2" x14ac:dyDescent="0.2">
      <c r="A36" s="1" t="s">
        <v>324</v>
      </c>
      <c r="B36" s="2" t="s">
        <v>360</v>
      </c>
    </row>
    <row r="37" spans="1:2" x14ac:dyDescent="0.2">
      <c r="A37" s="1" t="s">
        <v>361</v>
      </c>
      <c r="B37" s="3" t="s">
        <v>401</v>
      </c>
    </row>
    <row r="38" spans="1:2" x14ac:dyDescent="0.2">
      <c r="A38" s="1" t="s">
        <v>923</v>
      </c>
      <c r="B38" s="2" t="s">
        <v>973</v>
      </c>
    </row>
    <row r="39" spans="1:2" x14ac:dyDescent="0.2">
      <c r="A39" s="1" t="s">
        <v>979</v>
      </c>
      <c r="B39" s="3" t="s">
        <v>401</v>
      </c>
    </row>
    <row r="40" spans="1:2" x14ac:dyDescent="0.2">
      <c r="A40" s="1" t="s">
        <v>982</v>
      </c>
      <c r="B40" s="2" t="s">
        <v>999</v>
      </c>
    </row>
    <row r="41" spans="1:2" x14ac:dyDescent="0.2">
      <c r="A41" s="1" t="s">
        <v>1001</v>
      </c>
      <c r="B41" s="3" t="s">
        <v>401</v>
      </c>
    </row>
    <row r="42" spans="1:2" x14ac:dyDescent="0.2">
      <c r="A42" s="1" t="s">
        <v>1025</v>
      </c>
      <c r="B42" s="2" t="s">
        <v>1026</v>
      </c>
    </row>
    <row r="43" spans="1:2" x14ac:dyDescent="0.2">
      <c r="A43" s="1" t="s">
        <v>1027</v>
      </c>
      <c r="B43" s="2" t="s">
        <v>1075</v>
      </c>
    </row>
    <row r="44" spans="1:2" x14ac:dyDescent="0.2">
      <c r="A44" s="1" t="s">
        <v>1076</v>
      </c>
      <c r="B44" s="2" t="s">
        <v>1078</v>
      </c>
    </row>
    <row r="45" spans="1:2" x14ac:dyDescent="0.2">
      <c r="A45" s="1" t="s">
        <v>1079</v>
      </c>
      <c r="B45" s="2" t="s">
        <v>1087</v>
      </c>
    </row>
    <row r="46" spans="1:2" x14ac:dyDescent="0.2">
      <c r="A46" s="1" t="s">
        <v>1093</v>
      </c>
      <c r="B46" s="2" t="s">
        <v>1106</v>
      </c>
    </row>
    <row r="47" spans="1:2" x14ac:dyDescent="0.2">
      <c r="A47" s="1" t="s">
        <v>1107</v>
      </c>
      <c r="B47" s="2" t="s">
        <v>1087</v>
      </c>
    </row>
    <row r="48" spans="1:2" x14ac:dyDescent="0.2">
      <c r="A48" s="1" t="s">
        <v>1149</v>
      </c>
      <c r="B48" s="2" t="s">
        <v>1087</v>
      </c>
    </row>
    <row r="49" spans="1:2" x14ac:dyDescent="0.2">
      <c r="A49" s="1" t="s">
        <v>1173</v>
      </c>
      <c r="B49" s="4" t="s">
        <v>1181</v>
      </c>
    </row>
    <row r="50" spans="1:2" x14ac:dyDescent="0.2">
      <c r="A50" s="1" t="s">
        <v>1182</v>
      </c>
      <c r="B50" s="2" t="s">
        <v>1426</v>
      </c>
    </row>
    <row r="51" spans="1:2" x14ac:dyDescent="0.2">
      <c r="A51" s="1" t="s">
        <v>1427</v>
      </c>
      <c r="B51" s="2" t="s">
        <v>1612</v>
      </c>
    </row>
    <row r="52" spans="1:2" x14ac:dyDescent="0.2">
      <c r="A52" s="1" t="s">
        <v>1618</v>
      </c>
      <c r="B52" s="2" t="s">
        <v>1667</v>
      </c>
    </row>
    <row r="53" spans="1:2" x14ac:dyDescent="0.2">
      <c r="A53" s="1" t="s">
        <v>1670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W116"/>
  <sheetViews>
    <sheetView zoomScaleNormal="100" workbookViewId="0">
      <pane xSplit="2" ySplit="1" topLeftCell="C39" activePane="bottomRight" state="frozen"/>
      <selection pane="topRight" activeCell="B1" sqref="B1"/>
      <selection pane="bottomLeft" activeCell="A2" sqref="A2"/>
      <selection pane="bottomRight" activeCell="F61" sqref="F61"/>
    </sheetView>
  </sheetViews>
  <sheetFormatPr defaultColWidth="9.140625" defaultRowHeight="12.75" x14ac:dyDescent="0.2"/>
  <cols>
    <col min="1" max="1" width="3" style="38" bestFit="1" customWidth="1"/>
    <col min="2" max="2" width="25.5703125" style="42" bestFit="1" customWidth="1"/>
    <col min="3" max="3" width="11.28515625" style="44" customWidth="1"/>
    <col min="4" max="4" width="9.5703125" style="44" bestFit="1" customWidth="1"/>
    <col min="5" max="5" width="9.28515625" style="76" bestFit="1" customWidth="1"/>
    <col min="6" max="6" width="9.28515625" style="42" bestFit="1" customWidth="1"/>
    <col min="7" max="7" width="4.42578125" style="42" bestFit="1" customWidth="1"/>
    <col min="8" max="8" width="7.28515625" style="42" bestFit="1" customWidth="1"/>
    <col min="9" max="9" width="4.5703125" style="42" customWidth="1"/>
    <col min="10" max="10" width="29.7109375" style="42" customWidth="1"/>
    <col min="11" max="11" width="4.7109375" style="44" customWidth="1"/>
    <col min="12" max="12" width="10.5703125" style="42" bestFit="1" customWidth="1"/>
    <col min="13" max="18" width="3.85546875" style="42" customWidth="1"/>
    <col min="19" max="20" width="9.28515625" style="42" bestFit="1" customWidth="1"/>
    <col min="21" max="21" width="11.42578125" style="42" bestFit="1" customWidth="1"/>
    <col min="22" max="22" width="10.7109375" style="42" bestFit="1" customWidth="1"/>
    <col min="23" max="23" width="10.85546875" style="76" bestFit="1" customWidth="1"/>
    <col min="24" max="16384" width="9.140625" style="42"/>
  </cols>
  <sheetData>
    <row r="1" spans="1:23" s="34" customFormat="1" x14ac:dyDescent="0.2">
      <c r="B1" s="34" t="s">
        <v>148</v>
      </c>
      <c r="C1" s="35" t="s">
        <v>149</v>
      </c>
      <c r="D1" s="35" t="s">
        <v>150</v>
      </c>
      <c r="E1" s="36" t="s">
        <v>151</v>
      </c>
      <c r="F1" s="36" t="s">
        <v>153</v>
      </c>
      <c r="H1" s="36" t="s">
        <v>159</v>
      </c>
      <c r="J1" s="37" t="s">
        <v>1191</v>
      </c>
      <c r="K1" s="35" t="s">
        <v>1210</v>
      </c>
      <c r="L1" s="36" t="s">
        <v>356</v>
      </c>
      <c r="M1" s="36" t="s">
        <v>281</v>
      </c>
      <c r="N1" s="36" t="s">
        <v>254</v>
      </c>
      <c r="O1" s="36" t="s">
        <v>268</v>
      </c>
      <c r="P1" s="36" t="s">
        <v>260</v>
      </c>
      <c r="Q1" s="36" t="s">
        <v>261</v>
      </c>
      <c r="R1" s="36" t="s">
        <v>357</v>
      </c>
      <c r="S1" s="36" t="s">
        <v>1095</v>
      </c>
      <c r="T1" s="36" t="s">
        <v>1096</v>
      </c>
      <c r="U1" s="36" t="s">
        <v>1122</v>
      </c>
      <c r="V1" s="36" t="s">
        <v>1123</v>
      </c>
      <c r="W1" s="36" t="s">
        <v>1436</v>
      </c>
    </row>
    <row r="2" spans="1:23" x14ac:dyDescent="0.2">
      <c r="A2" s="38">
        <v>1</v>
      </c>
      <c r="B2" s="38" t="s">
        <v>131</v>
      </c>
      <c r="C2" s="39">
        <v>10423</v>
      </c>
      <c r="D2" s="39">
        <v>11083</v>
      </c>
      <c r="E2" s="40">
        <f>D2-C2</f>
        <v>660</v>
      </c>
      <c r="F2" s="41">
        <f t="shared" ref="F2:F43" si="0">(D2-C2)/365.25</f>
        <v>1.8069815195071868</v>
      </c>
      <c r="G2" s="42" t="s">
        <v>152</v>
      </c>
      <c r="H2" s="43">
        <f t="shared" ref="H2:H8" ca="1" si="1">RANK(F2,F$2:F$52,0)</f>
        <v>18</v>
      </c>
      <c r="J2" s="42" t="s">
        <v>1222</v>
      </c>
      <c r="K2" s="44" t="s">
        <v>1200</v>
      </c>
      <c r="L2" s="45">
        <f>SUM(M2:O2)</f>
        <v>105</v>
      </c>
      <c r="M2" s="45">
        <v>44</v>
      </c>
      <c r="N2" s="45">
        <v>33</v>
      </c>
      <c r="O2" s="45">
        <v>28</v>
      </c>
      <c r="P2" s="45"/>
      <c r="Q2" s="45"/>
      <c r="R2" s="46">
        <f t="shared" ref="R2:R8" si="2">M2*3+N2</f>
        <v>165</v>
      </c>
      <c r="S2" s="47">
        <f t="shared" ref="S2:S8" si="3">R2/(L2*3)</f>
        <v>0.52380952380952384</v>
      </c>
      <c r="T2" s="47">
        <f t="shared" ref="T2:T8" si="4">M2/L2</f>
        <v>0.41904761904761906</v>
      </c>
      <c r="U2" s="43">
        <f t="shared" ref="U2:V8" si="5">RANK(S2,S$2:S$52,0)</f>
        <v>7</v>
      </c>
      <c r="V2" s="43">
        <f t="shared" si="5"/>
        <v>7</v>
      </c>
      <c r="W2" s="76" t="s">
        <v>1437</v>
      </c>
    </row>
    <row r="3" spans="1:23" x14ac:dyDescent="0.2">
      <c r="A3" s="38">
        <f>MAX(A$2:A2)+1</f>
        <v>2</v>
      </c>
      <c r="B3" s="38" t="s">
        <v>1108</v>
      </c>
      <c r="C3" s="39">
        <v>11080</v>
      </c>
      <c r="D3" s="39">
        <v>12176</v>
      </c>
      <c r="E3" s="40">
        <f t="shared" ref="E3:E19" si="6">D3-C3</f>
        <v>1096</v>
      </c>
      <c r="F3" s="41">
        <f t="shared" si="0"/>
        <v>3.0006844626967832</v>
      </c>
      <c r="G3" s="42" t="s">
        <v>152</v>
      </c>
      <c r="H3" s="43">
        <f t="shared" ca="1" si="1"/>
        <v>10</v>
      </c>
      <c r="J3" s="42" t="s">
        <v>1221</v>
      </c>
      <c r="K3" s="44" t="s">
        <v>1200</v>
      </c>
      <c r="L3" s="45">
        <f t="shared" ref="L3:L43" si="7">SUM(M3:O3)</f>
        <v>130</v>
      </c>
      <c r="M3" s="45">
        <v>50</v>
      </c>
      <c r="N3" s="45">
        <v>21</v>
      </c>
      <c r="O3" s="45">
        <v>59</v>
      </c>
      <c r="P3" s="45"/>
      <c r="Q3" s="45"/>
      <c r="R3" s="46">
        <f t="shared" si="2"/>
        <v>171</v>
      </c>
      <c r="S3" s="47">
        <f t="shared" si="3"/>
        <v>0.43846153846153846</v>
      </c>
      <c r="T3" s="47">
        <f t="shared" si="4"/>
        <v>0.38461538461538464</v>
      </c>
      <c r="U3" s="43">
        <f t="shared" si="5"/>
        <v>16</v>
      </c>
      <c r="V3" s="43">
        <f t="shared" si="5"/>
        <v>10</v>
      </c>
    </row>
    <row r="4" spans="1:23" x14ac:dyDescent="0.2">
      <c r="A4" s="38">
        <f>MAX(A$2:A3)+1</f>
        <v>3</v>
      </c>
      <c r="B4" s="38" t="s">
        <v>131</v>
      </c>
      <c r="C4" s="39">
        <v>12176</v>
      </c>
      <c r="D4" s="39">
        <v>13590</v>
      </c>
      <c r="E4" s="40">
        <f t="shared" si="6"/>
        <v>1414</v>
      </c>
      <c r="F4" s="41">
        <f t="shared" si="0"/>
        <v>3.871321013004791</v>
      </c>
      <c r="G4" s="42" t="s">
        <v>152</v>
      </c>
      <c r="H4" s="43">
        <f t="shared" ca="1" si="1"/>
        <v>7</v>
      </c>
      <c r="J4" s="45" t="s">
        <v>1220</v>
      </c>
      <c r="K4" s="44" t="s">
        <v>1200</v>
      </c>
      <c r="L4" s="45">
        <f t="shared" si="7"/>
        <v>178</v>
      </c>
      <c r="M4" s="45">
        <v>63</v>
      </c>
      <c r="N4" s="45">
        <v>39</v>
      </c>
      <c r="O4" s="45">
        <v>76</v>
      </c>
      <c r="P4" s="45"/>
      <c r="Q4" s="45"/>
      <c r="R4" s="46">
        <f t="shared" si="2"/>
        <v>228</v>
      </c>
      <c r="S4" s="47">
        <f t="shared" si="3"/>
        <v>0.42696629213483145</v>
      </c>
      <c r="T4" s="47">
        <f t="shared" si="4"/>
        <v>0.3539325842696629</v>
      </c>
      <c r="U4" s="43">
        <f t="shared" si="5"/>
        <v>21</v>
      </c>
      <c r="V4" s="43">
        <f t="shared" si="5"/>
        <v>17</v>
      </c>
    </row>
    <row r="5" spans="1:23" x14ac:dyDescent="0.2">
      <c r="A5" s="38">
        <f>MAX(A$2:A4)+1</f>
        <v>4</v>
      </c>
      <c r="B5" s="38" t="s">
        <v>132</v>
      </c>
      <c r="C5" s="39">
        <v>13590</v>
      </c>
      <c r="D5" s="39">
        <v>18317</v>
      </c>
      <c r="E5" s="40">
        <f t="shared" si="6"/>
        <v>4727</v>
      </c>
      <c r="F5" s="41">
        <f t="shared" si="0"/>
        <v>12.941820670773442</v>
      </c>
      <c r="G5" s="42" t="s">
        <v>152</v>
      </c>
      <c r="H5" s="43">
        <f t="shared" ca="1" si="1"/>
        <v>1</v>
      </c>
      <c r="J5" s="42" t="s">
        <v>1219</v>
      </c>
      <c r="K5" s="44" t="s">
        <v>1200</v>
      </c>
      <c r="L5" s="45">
        <f t="shared" si="7"/>
        <v>270</v>
      </c>
      <c r="M5" s="45">
        <v>91</v>
      </c>
      <c r="N5" s="45">
        <v>64</v>
      </c>
      <c r="O5" s="45">
        <v>115</v>
      </c>
      <c r="P5" s="45"/>
      <c r="Q5" s="45"/>
      <c r="R5" s="46">
        <f t="shared" si="2"/>
        <v>337</v>
      </c>
      <c r="S5" s="47">
        <f t="shared" si="3"/>
        <v>0.41604938271604941</v>
      </c>
      <c r="T5" s="47">
        <f t="shared" si="4"/>
        <v>0.33703703703703702</v>
      </c>
      <c r="U5" s="43">
        <f t="shared" si="5"/>
        <v>24</v>
      </c>
      <c r="V5" s="43">
        <f t="shared" si="5"/>
        <v>19</v>
      </c>
    </row>
    <row r="6" spans="1:23" x14ac:dyDescent="0.2">
      <c r="A6" s="38">
        <f>MAX(A$2:A5)+1</f>
        <v>5</v>
      </c>
      <c r="B6" s="38" t="s">
        <v>133</v>
      </c>
      <c r="C6" s="39">
        <v>18356</v>
      </c>
      <c r="D6" s="39">
        <v>19289</v>
      </c>
      <c r="E6" s="40">
        <f t="shared" si="6"/>
        <v>933</v>
      </c>
      <c r="F6" s="41">
        <f t="shared" si="0"/>
        <v>2.5544147843942504</v>
      </c>
      <c r="G6" s="42" t="s">
        <v>152</v>
      </c>
      <c r="H6" s="43">
        <f t="shared" ca="1" si="1"/>
        <v>14</v>
      </c>
      <c r="J6" s="45" t="s">
        <v>1218</v>
      </c>
      <c r="K6" s="48" t="s">
        <v>1200</v>
      </c>
      <c r="L6" s="45">
        <f t="shared" si="7"/>
        <v>120</v>
      </c>
      <c r="M6" s="45">
        <v>40</v>
      </c>
      <c r="N6" s="45">
        <v>38</v>
      </c>
      <c r="O6" s="45">
        <v>42</v>
      </c>
      <c r="P6" s="45"/>
      <c r="Q6" s="45"/>
      <c r="R6" s="46">
        <f t="shared" si="2"/>
        <v>158</v>
      </c>
      <c r="S6" s="47">
        <f t="shared" si="3"/>
        <v>0.43888888888888888</v>
      </c>
      <c r="T6" s="47">
        <f t="shared" si="4"/>
        <v>0.33333333333333331</v>
      </c>
      <c r="U6" s="43">
        <f t="shared" si="5"/>
        <v>15</v>
      </c>
      <c r="V6" s="43">
        <f t="shared" si="5"/>
        <v>20</v>
      </c>
    </row>
    <row r="7" spans="1:23" x14ac:dyDescent="0.2">
      <c r="A7" s="38">
        <f>MAX(A$2:A6)+1</f>
        <v>6</v>
      </c>
      <c r="B7" s="38" t="s">
        <v>134</v>
      </c>
      <c r="C7" s="39">
        <v>19315</v>
      </c>
      <c r="D7" s="39">
        <v>19399</v>
      </c>
      <c r="E7" s="40">
        <f t="shared" si="6"/>
        <v>84</v>
      </c>
      <c r="F7" s="41">
        <f t="shared" si="0"/>
        <v>0.2299794661190965</v>
      </c>
      <c r="G7" s="42" t="s">
        <v>152</v>
      </c>
      <c r="H7" s="43">
        <f t="shared" ca="1" si="1"/>
        <v>37</v>
      </c>
      <c r="J7" s="42" t="s">
        <v>1217</v>
      </c>
      <c r="K7" s="44" t="s">
        <v>1200</v>
      </c>
      <c r="L7" s="45">
        <f t="shared" si="7"/>
        <v>12</v>
      </c>
      <c r="M7" s="45">
        <v>4</v>
      </c>
      <c r="N7" s="45">
        <v>3</v>
      </c>
      <c r="O7" s="45">
        <v>5</v>
      </c>
      <c r="P7" s="45"/>
      <c r="Q7" s="45"/>
      <c r="R7" s="46">
        <f t="shared" si="2"/>
        <v>15</v>
      </c>
      <c r="S7" s="47">
        <f t="shared" si="3"/>
        <v>0.41666666666666669</v>
      </c>
      <c r="T7" s="47">
        <f t="shared" si="4"/>
        <v>0.33333333333333331</v>
      </c>
      <c r="U7" s="43">
        <f t="shared" si="5"/>
        <v>23</v>
      </c>
      <c r="V7" s="43">
        <f t="shared" si="5"/>
        <v>20</v>
      </c>
    </row>
    <row r="8" spans="1:23" x14ac:dyDescent="0.2">
      <c r="A8" s="38">
        <f>MAX(A$2:A7)+1</f>
        <v>7</v>
      </c>
      <c r="B8" s="38" t="s">
        <v>135</v>
      </c>
      <c r="C8" s="39">
        <v>19511</v>
      </c>
      <c r="D8" s="39">
        <v>19974</v>
      </c>
      <c r="E8" s="40">
        <f t="shared" si="6"/>
        <v>463</v>
      </c>
      <c r="F8" s="41">
        <f t="shared" si="0"/>
        <v>1.267624914442163</v>
      </c>
      <c r="G8" s="42" t="s">
        <v>152</v>
      </c>
      <c r="H8" s="43">
        <f t="shared" ca="1" si="1"/>
        <v>24</v>
      </c>
      <c r="J8" s="45" t="s">
        <v>1216</v>
      </c>
      <c r="K8" s="48" t="s">
        <v>1200</v>
      </c>
      <c r="L8" s="45">
        <f t="shared" si="7"/>
        <v>53</v>
      </c>
      <c r="M8" s="45">
        <v>14</v>
      </c>
      <c r="N8" s="45">
        <v>14</v>
      </c>
      <c r="O8" s="45">
        <v>25</v>
      </c>
      <c r="P8" s="45"/>
      <c r="Q8" s="45"/>
      <c r="R8" s="46">
        <f t="shared" si="2"/>
        <v>56</v>
      </c>
      <c r="S8" s="47">
        <f t="shared" si="3"/>
        <v>0.3522012578616352</v>
      </c>
      <c r="T8" s="47">
        <f t="shared" si="4"/>
        <v>0.26415094339622641</v>
      </c>
      <c r="U8" s="43">
        <f t="shared" si="5"/>
        <v>32</v>
      </c>
      <c r="V8" s="43">
        <f t="shared" si="5"/>
        <v>31</v>
      </c>
    </row>
    <row r="9" spans="1:23" x14ac:dyDescent="0.2">
      <c r="B9" s="49" t="s">
        <v>1109</v>
      </c>
      <c r="C9" s="50">
        <v>19975</v>
      </c>
      <c r="D9" s="50">
        <v>20525</v>
      </c>
      <c r="E9" s="51">
        <f t="shared" si="6"/>
        <v>550</v>
      </c>
      <c r="F9" s="52"/>
      <c r="G9" s="49"/>
      <c r="H9" s="43"/>
      <c r="L9" s="45"/>
      <c r="M9" s="45"/>
      <c r="N9" s="45"/>
      <c r="O9" s="45"/>
      <c r="P9" s="45"/>
      <c r="Q9" s="45"/>
      <c r="R9" s="46"/>
      <c r="S9" s="47"/>
      <c r="T9" s="47"/>
      <c r="U9" s="43"/>
      <c r="V9" s="43"/>
    </row>
    <row r="10" spans="1:23" x14ac:dyDescent="0.2">
      <c r="A10" s="38">
        <f>MAX(A$2:A9)+1</f>
        <v>8</v>
      </c>
      <c r="B10" s="38" t="s">
        <v>136</v>
      </c>
      <c r="C10" s="39">
        <v>20526</v>
      </c>
      <c r="D10" s="39">
        <v>22115</v>
      </c>
      <c r="E10" s="40">
        <f t="shared" si="6"/>
        <v>1589</v>
      </c>
      <c r="F10" s="41">
        <f t="shared" si="0"/>
        <v>4.3504449007529091</v>
      </c>
      <c r="G10" s="42" t="s">
        <v>152</v>
      </c>
      <c r="H10" s="43">
        <f ca="1">RANK(F10,F$2:F$52,0)</f>
        <v>6</v>
      </c>
      <c r="J10" s="45" t="s">
        <v>1215</v>
      </c>
      <c r="K10" s="48">
        <v>3</v>
      </c>
      <c r="L10" s="45">
        <f t="shared" si="7"/>
        <v>209</v>
      </c>
      <c r="M10" s="45">
        <v>84</v>
      </c>
      <c r="N10" s="45">
        <v>56</v>
      </c>
      <c r="O10" s="45">
        <v>69</v>
      </c>
      <c r="P10" s="45"/>
      <c r="Q10" s="45"/>
      <c r="R10" s="46">
        <f>M10*3+N10</f>
        <v>308</v>
      </c>
      <c r="S10" s="47">
        <f>R10/(L10*3)</f>
        <v>0.49122807017543857</v>
      </c>
      <c r="T10" s="47">
        <f>M10/L10</f>
        <v>0.40191387559808611</v>
      </c>
      <c r="U10" s="43">
        <f t="shared" ref="U10:V13" si="8">RANK(S10,S$2:S$52,0)</f>
        <v>9</v>
      </c>
      <c r="V10" s="43">
        <f t="shared" si="8"/>
        <v>8</v>
      </c>
      <c r="W10" s="76" t="s">
        <v>1437</v>
      </c>
    </row>
    <row r="11" spans="1:23" x14ac:dyDescent="0.2">
      <c r="A11" s="38">
        <f>MAX(A$2:A10)+1</f>
        <v>9</v>
      </c>
      <c r="B11" s="38" t="s">
        <v>137</v>
      </c>
      <c r="C11" s="39">
        <v>22098</v>
      </c>
      <c r="D11" s="39">
        <v>24761</v>
      </c>
      <c r="E11" s="40">
        <f t="shared" si="6"/>
        <v>2663</v>
      </c>
      <c r="F11" s="41">
        <f t="shared" si="0"/>
        <v>7.2908966461327855</v>
      </c>
      <c r="G11" s="42" t="s">
        <v>152</v>
      </c>
      <c r="H11" s="43">
        <f ca="1">RANK(F11,F$2:F$52,0)</f>
        <v>2</v>
      </c>
      <c r="J11" s="45" t="s">
        <v>1214</v>
      </c>
      <c r="K11" s="48">
        <v>4</v>
      </c>
      <c r="L11" s="45">
        <f t="shared" si="7"/>
        <v>376</v>
      </c>
      <c r="M11" s="53">
        <v>134</v>
      </c>
      <c r="N11" s="53">
        <v>82</v>
      </c>
      <c r="O11" s="53">
        <v>160</v>
      </c>
      <c r="P11" s="36"/>
      <c r="Q11" s="36"/>
      <c r="R11" s="46">
        <f>M11*3+N11</f>
        <v>484</v>
      </c>
      <c r="S11" s="47">
        <f>R11/(L11*3)</f>
        <v>0.42907801418439717</v>
      </c>
      <c r="T11" s="47">
        <f>M11/L11</f>
        <v>0.35638297872340424</v>
      </c>
      <c r="U11" s="43">
        <f t="shared" si="8"/>
        <v>20</v>
      </c>
      <c r="V11" s="43">
        <f t="shared" si="8"/>
        <v>16</v>
      </c>
    </row>
    <row r="12" spans="1:23" x14ac:dyDescent="0.2">
      <c r="A12" s="38">
        <f>MAX(A$2:A11)+1</f>
        <v>10</v>
      </c>
      <c r="B12" s="38" t="s">
        <v>138</v>
      </c>
      <c r="C12" s="39">
        <v>24782</v>
      </c>
      <c r="D12" s="39">
        <v>25066</v>
      </c>
      <c r="E12" s="40">
        <f t="shared" si="6"/>
        <v>284</v>
      </c>
      <c r="F12" s="41">
        <f t="shared" si="0"/>
        <v>0.77754962354551682</v>
      </c>
      <c r="G12" s="42" t="s">
        <v>152</v>
      </c>
      <c r="H12" s="43">
        <f ca="1">RANK(F12,F$2:F$52,0)</f>
        <v>33</v>
      </c>
      <c r="J12" s="45" t="s">
        <v>1213</v>
      </c>
      <c r="K12" s="48">
        <v>4</v>
      </c>
      <c r="L12" s="45">
        <f t="shared" si="7"/>
        <v>33</v>
      </c>
      <c r="M12" s="45">
        <v>9</v>
      </c>
      <c r="N12" s="45">
        <v>9</v>
      </c>
      <c r="O12" s="45">
        <v>15</v>
      </c>
      <c r="P12" s="45"/>
      <c r="Q12" s="45"/>
      <c r="R12" s="46">
        <f>M12*3+N12</f>
        <v>36</v>
      </c>
      <c r="S12" s="47">
        <f>R12/(L12*3)</f>
        <v>0.36363636363636365</v>
      </c>
      <c r="T12" s="47">
        <f>M12/L12</f>
        <v>0.27272727272727271</v>
      </c>
      <c r="U12" s="43">
        <f t="shared" si="8"/>
        <v>31</v>
      </c>
      <c r="V12" s="43">
        <f t="shared" si="8"/>
        <v>30</v>
      </c>
    </row>
    <row r="13" spans="1:23" x14ac:dyDescent="0.2">
      <c r="A13" s="38">
        <f>MAX(A$2:A12)+1</f>
        <v>11</v>
      </c>
      <c r="B13" s="38" t="s">
        <v>139</v>
      </c>
      <c r="C13" s="39">
        <v>25142</v>
      </c>
      <c r="D13" s="39">
        <v>27405</v>
      </c>
      <c r="E13" s="40">
        <f t="shared" si="6"/>
        <v>2263</v>
      </c>
      <c r="F13" s="41">
        <f t="shared" si="0"/>
        <v>6.1957563312799451</v>
      </c>
      <c r="G13" s="42" t="s">
        <v>152</v>
      </c>
      <c r="H13" s="43">
        <f ca="1">RANK(F13,F$2:F$52,0)</f>
        <v>3</v>
      </c>
      <c r="J13" s="45" t="s">
        <v>1212</v>
      </c>
      <c r="K13" s="48">
        <v>2</v>
      </c>
      <c r="L13" s="45">
        <f t="shared" si="7"/>
        <v>329</v>
      </c>
      <c r="M13" s="45">
        <v>121</v>
      </c>
      <c r="N13" s="45">
        <v>94</v>
      </c>
      <c r="O13" s="45">
        <v>114</v>
      </c>
      <c r="P13" s="54"/>
      <c r="Q13" s="54"/>
      <c r="R13" s="46">
        <f>M13*3+N13</f>
        <v>457</v>
      </c>
      <c r="S13" s="47">
        <f>R13/(L13*3)</f>
        <v>0.46301925025329282</v>
      </c>
      <c r="T13" s="47">
        <f>M13/L13</f>
        <v>0.36778115501519759</v>
      </c>
      <c r="U13" s="43">
        <f t="shared" si="8"/>
        <v>12</v>
      </c>
      <c r="V13" s="43">
        <f t="shared" si="8"/>
        <v>15</v>
      </c>
      <c r="W13" s="76" t="s">
        <v>1437</v>
      </c>
    </row>
    <row r="14" spans="1:23" x14ac:dyDescent="0.2">
      <c r="B14" s="49" t="s">
        <v>1115</v>
      </c>
      <c r="C14" s="50">
        <v>27405</v>
      </c>
      <c r="D14" s="50">
        <v>27440</v>
      </c>
      <c r="E14" s="51">
        <f t="shared" si="6"/>
        <v>35</v>
      </c>
      <c r="F14" s="52"/>
      <c r="G14" s="49"/>
      <c r="H14" s="43"/>
      <c r="J14" s="54"/>
      <c r="K14" s="55"/>
      <c r="L14" s="45">
        <f t="shared" si="7"/>
        <v>4</v>
      </c>
      <c r="M14" s="45">
        <v>2</v>
      </c>
      <c r="N14" s="45">
        <v>1</v>
      </c>
      <c r="O14" s="45">
        <v>1</v>
      </c>
      <c r="P14" s="54"/>
      <c r="Q14" s="54"/>
      <c r="R14" s="46">
        <f t="shared" ref="R14:R43" si="9">M14*3+N14</f>
        <v>7</v>
      </c>
      <c r="S14" s="47"/>
      <c r="T14" s="47"/>
      <c r="U14" s="43"/>
      <c r="V14" s="43"/>
    </row>
    <row r="15" spans="1:23" x14ac:dyDescent="0.2">
      <c r="A15" s="38">
        <f>MAX(A$2:A13)+1</f>
        <v>12</v>
      </c>
      <c r="B15" s="38" t="s">
        <v>140</v>
      </c>
      <c r="C15" s="39">
        <v>27440</v>
      </c>
      <c r="D15" s="39">
        <v>28418</v>
      </c>
      <c r="E15" s="40">
        <f t="shared" si="6"/>
        <v>978</v>
      </c>
      <c r="F15" s="41">
        <f t="shared" si="0"/>
        <v>2.6776180698151952</v>
      </c>
      <c r="G15" s="42" t="s">
        <v>152</v>
      </c>
      <c r="H15" s="43">
        <f ca="1">RANK(F15,F$2:F$52,0)</f>
        <v>13</v>
      </c>
      <c r="J15" s="42" t="s">
        <v>1211</v>
      </c>
      <c r="K15" s="44">
        <v>4</v>
      </c>
      <c r="L15" s="45">
        <f t="shared" si="7"/>
        <v>130</v>
      </c>
      <c r="M15" s="45">
        <v>31</v>
      </c>
      <c r="N15" s="45">
        <v>33</v>
      </c>
      <c r="O15" s="45">
        <v>66</v>
      </c>
      <c r="P15" s="56"/>
      <c r="Q15" s="56"/>
      <c r="R15" s="46">
        <f t="shared" si="9"/>
        <v>126</v>
      </c>
      <c r="S15" s="47">
        <f t="shared" ref="S15:S43" si="10">R15/(L15*3)</f>
        <v>0.32307692307692309</v>
      </c>
      <c r="T15" s="47">
        <f t="shared" ref="T15:T43" si="11">M15/L15</f>
        <v>0.23846153846153847</v>
      </c>
      <c r="U15" s="43">
        <f t="shared" ref="U15:V17" si="12">RANK(S15,S$2:S$52,0)</f>
        <v>35</v>
      </c>
      <c r="V15" s="43">
        <f t="shared" si="12"/>
        <v>35</v>
      </c>
    </row>
    <row r="16" spans="1:23" x14ac:dyDescent="0.2">
      <c r="A16" s="38">
        <f>MAX(A$2:A15)+1</f>
        <v>13</v>
      </c>
      <c r="B16" s="38" t="s">
        <v>141</v>
      </c>
      <c r="C16" s="39">
        <v>28451</v>
      </c>
      <c r="D16" s="39">
        <v>29298</v>
      </c>
      <c r="E16" s="40">
        <f t="shared" si="6"/>
        <v>847</v>
      </c>
      <c r="F16" s="41">
        <f t="shared" si="0"/>
        <v>2.3189596167008899</v>
      </c>
      <c r="G16" s="42" t="s">
        <v>152</v>
      </c>
      <c r="H16" s="43">
        <f ca="1">RANK(F16,F$2:F$52,0)</f>
        <v>16</v>
      </c>
      <c r="J16" s="42" t="s">
        <v>1209</v>
      </c>
      <c r="K16" s="44">
        <v>4</v>
      </c>
      <c r="L16" s="45">
        <f t="shared" si="7"/>
        <v>124</v>
      </c>
      <c r="M16" s="45">
        <v>40</v>
      </c>
      <c r="N16" s="45">
        <v>30</v>
      </c>
      <c r="O16" s="45">
        <v>54</v>
      </c>
      <c r="P16" s="56"/>
      <c r="Q16" s="56"/>
      <c r="R16" s="46">
        <f t="shared" si="9"/>
        <v>150</v>
      </c>
      <c r="S16" s="47">
        <f t="shared" si="10"/>
        <v>0.40322580645161288</v>
      </c>
      <c r="T16" s="47">
        <f t="shared" si="11"/>
        <v>0.32258064516129031</v>
      </c>
      <c r="U16" s="43">
        <f t="shared" si="12"/>
        <v>27</v>
      </c>
      <c r="V16" s="43">
        <f t="shared" si="12"/>
        <v>23</v>
      </c>
    </row>
    <row r="17" spans="1:23" x14ac:dyDescent="0.2">
      <c r="A17" s="38">
        <f>MAX(A$2:A16)+1</f>
        <v>14</v>
      </c>
      <c r="B17" s="38" t="s">
        <v>142</v>
      </c>
      <c r="C17" s="39">
        <v>29298</v>
      </c>
      <c r="D17" s="39">
        <v>29928</v>
      </c>
      <c r="E17" s="40">
        <f>D17-C17</f>
        <v>630</v>
      </c>
      <c r="F17" s="41">
        <f t="shared" si="0"/>
        <v>1.7248459958932238</v>
      </c>
      <c r="G17" s="42" t="s">
        <v>152</v>
      </c>
      <c r="H17" s="43">
        <f ca="1">RANK(F17,F$2:F$52,0)</f>
        <v>19</v>
      </c>
      <c r="J17" s="45" t="s">
        <v>1208</v>
      </c>
      <c r="K17" s="48">
        <v>4</v>
      </c>
      <c r="L17" s="45">
        <f t="shared" si="7"/>
        <v>82</v>
      </c>
      <c r="M17" s="45">
        <v>24</v>
      </c>
      <c r="N17" s="45">
        <v>18</v>
      </c>
      <c r="O17" s="45">
        <v>40</v>
      </c>
      <c r="P17" s="54"/>
      <c r="Q17" s="54"/>
      <c r="R17" s="46">
        <f t="shared" si="9"/>
        <v>90</v>
      </c>
      <c r="S17" s="47">
        <f t="shared" si="10"/>
        <v>0.36585365853658536</v>
      </c>
      <c r="T17" s="47">
        <f t="shared" si="11"/>
        <v>0.29268292682926828</v>
      </c>
      <c r="U17" s="43">
        <f t="shared" si="12"/>
        <v>29</v>
      </c>
      <c r="V17" s="43">
        <f t="shared" si="12"/>
        <v>28</v>
      </c>
    </row>
    <row r="18" spans="1:23" x14ac:dyDescent="0.2">
      <c r="B18" s="49" t="s">
        <v>158</v>
      </c>
      <c r="C18" s="50">
        <v>29928</v>
      </c>
      <c r="D18" s="50">
        <v>30013</v>
      </c>
      <c r="E18" s="51">
        <f t="shared" si="6"/>
        <v>85</v>
      </c>
      <c r="F18" s="52"/>
      <c r="G18" s="49"/>
      <c r="H18" s="43"/>
      <c r="J18" s="56"/>
      <c r="K18" s="57"/>
      <c r="L18" s="45">
        <f t="shared" si="7"/>
        <v>11</v>
      </c>
      <c r="M18" s="45">
        <v>1</v>
      </c>
      <c r="N18" s="45">
        <v>3</v>
      </c>
      <c r="O18" s="45">
        <v>7</v>
      </c>
      <c r="P18" s="56"/>
      <c r="Q18" s="56"/>
      <c r="R18" s="46">
        <f t="shared" si="9"/>
        <v>6</v>
      </c>
      <c r="S18" s="47"/>
      <c r="T18" s="47"/>
      <c r="U18" s="43"/>
      <c r="V18" s="43"/>
    </row>
    <row r="19" spans="1:23" x14ac:dyDescent="0.2">
      <c r="B19" s="49" t="s">
        <v>1114</v>
      </c>
      <c r="C19" s="50">
        <v>30013</v>
      </c>
      <c r="D19" s="50">
        <v>30086</v>
      </c>
      <c r="E19" s="51">
        <f t="shared" si="6"/>
        <v>73</v>
      </c>
      <c r="F19" s="52"/>
      <c r="G19" s="49"/>
      <c r="H19" s="43"/>
      <c r="J19" s="56"/>
      <c r="K19" s="57"/>
      <c r="L19" s="45">
        <f t="shared" si="7"/>
        <v>19</v>
      </c>
      <c r="M19" s="45">
        <v>8</v>
      </c>
      <c r="N19" s="45">
        <v>2</v>
      </c>
      <c r="O19" s="45">
        <v>9</v>
      </c>
      <c r="P19" s="56"/>
      <c r="Q19" s="56"/>
      <c r="R19" s="46">
        <f t="shared" si="9"/>
        <v>26</v>
      </c>
      <c r="S19" s="47"/>
      <c r="T19" s="47"/>
      <c r="U19" s="43"/>
      <c r="V19" s="43"/>
    </row>
    <row r="20" spans="1:23" x14ac:dyDescent="0.2">
      <c r="A20" s="38">
        <f>MAX(A$2:A18)+1</f>
        <v>15</v>
      </c>
      <c r="B20" s="38" t="s">
        <v>143</v>
      </c>
      <c r="C20" s="39">
        <v>30072</v>
      </c>
      <c r="D20" s="39">
        <v>31928</v>
      </c>
      <c r="E20" s="40">
        <f t="shared" ref="E20:E29" si="13">D20-C20</f>
        <v>1856</v>
      </c>
      <c r="F20" s="41">
        <f t="shared" si="0"/>
        <v>5.0814510609171801</v>
      </c>
      <c r="G20" s="42" t="s">
        <v>152</v>
      </c>
      <c r="H20" s="43">
        <f ca="1">RANK(F20,F$2:F$52,0)</f>
        <v>5</v>
      </c>
      <c r="J20" s="45" t="s">
        <v>1207</v>
      </c>
      <c r="K20" s="48">
        <v>3</v>
      </c>
      <c r="L20" s="45">
        <f t="shared" si="7"/>
        <v>279</v>
      </c>
      <c r="M20" s="45">
        <v>128</v>
      </c>
      <c r="N20" s="45">
        <v>64</v>
      </c>
      <c r="O20" s="45">
        <v>87</v>
      </c>
      <c r="P20" s="34"/>
      <c r="Q20" s="34"/>
      <c r="R20" s="46">
        <f t="shared" si="9"/>
        <v>448</v>
      </c>
      <c r="S20" s="47">
        <f t="shared" si="10"/>
        <v>0.53524492234169652</v>
      </c>
      <c r="T20" s="47">
        <f t="shared" si="11"/>
        <v>0.45878136200716846</v>
      </c>
      <c r="U20" s="43">
        <f>RANK(S20,S$2:S$52,0)</f>
        <v>4</v>
      </c>
      <c r="V20" s="43">
        <f>RANK(T20,T$2:T$52,0)</f>
        <v>3</v>
      </c>
      <c r="W20" s="76" t="s">
        <v>1437</v>
      </c>
    </row>
    <row r="21" spans="1:23" x14ac:dyDescent="0.2">
      <c r="A21" s="38">
        <f>MAX(A$2:A20)+1</f>
        <v>16</v>
      </c>
      <c r="B21" s="38" t="s">
        <v>144</v>
      </c>
      <c r="C21" s="39">
        <v>31937</v>
      </c>
      <c r="D21" s="39">
        <v>32405</v>
      </c>
      <c r="E21" s="40">
        <f t="shared" si="13"/>
        <v>468</v>
      </c>
      <c r="F21" s="41">
        <f t="shared" si="0"/>
        <v>1.2813141683778233</v>
      </c>
      <c r="G21" s="42" t="s">
        <v>152</v>
      </c>
      <c r="H21" s="43">
        <f ca="1">RANK(F21,F$2:F$52,0)</f>
        <v>23</v>
      </c>
      <c r="J21" s="45" t="s">
        <v>1206</v>
      </c>
      <c r="K21" s="48">
        <v>4</v>
      </c>
      <c r="L21" s="45">
        <f t="shared" si="7"/>
        <v>60</v>
      </c>
      <c r="M21" s="45">
        <v>10</v>
      </c>
      <c r="N21" s="45">
        <v>14</v>
      </c>
      <c r="O21" s="45">
        <v>36</v>
      </c>
      <c r="R21" s="46">
        <f t="shared" si="9"/>
        <v>44</v>
      </c>
      <c r="S21" s="47">
        <f t="shared" si="10"/>
        <v>0.24444444444444444</v>
      </c>
      <c r="T21" s="47">
        <f t="shared" si="11"/>
        <v>0.16666666666666666</v>
      </c>
      <c r="U21" s="43">
        <f>RANK(S21,S$2:S$52,0)</f>
        <v>38</v>
      </c>
      <c r="V21" s="43">
        <f>RANK(T21,T$2:T$52,0)</f>
        <v>38</v>
      </c>
    </row>
    <row r="22" spans="1:23" x14ac:dyDescent="0.2">
      <c r="B22" s="49" t="s">
        <v>1114</v>
      </c>
      <c r="C22" s="50">
        <v>32405</v>
      </c>
      <c r="D22" s="50">
        <v>32426</v>
      </c>
      <c r="E22" s="51">
        <f t="shared" si="13"/>
        <v>21</v>
      </c>
      <c r="F22" s="52"/>
      <c r="G22" s="49"/>
      <c r="H22" s="43"/>
      <c r="L22" s="45">
        <f t="shared" si="7"/>
        <v>5</v>
      </c>
      <c r="M22" s="45">
        <v>3</v>
      </c>
      <c r="N22" s="45">
        <v>0</v>
      </c>
      <c r="O22" s="45">
        <v>2</v>
      </c>
      <c r="R22" s="46">
        <f t="shared" si="9"/>
        <v>9</v>
      </c>
      <c r="S22" s="47"/>
      <c r="T22" s="47"/>
      <c r="U22" s="43"/>
      <c r="V22" s="43"/>
    </row>
    <row r="23" spans="1:23" x14ac:dyDescent="0.2">
      <c r="A23" s="38">
        <f>MAX(A$2:A21)+1</f>
        <v>17</v>
      </c>
      <c r="B23" s="38" t="s">
        <v>145</v>
      </c>
      <c r="C23" s="39">
        <v>32426</v>
      </c>
      <c r="D23" s="39">
        <v>33534</v>
      </c>
      <c r="E23" s="40">
        <f t="shared" si="13"/>
        <v>1108</v>
      </c>
      <c r="F23" s="41">
        <f t="shared" si="0"/>
        <v>3.0335386721423681</v>
      </c>
      <c r="G23" s="42" t="s">
        <v>152</v>
      </c>
      <c r="H23" s="43">
        <f t="shared" ref="H23:H28" ca="1" si="14">RANK(F23,F$2:F$52,0)</f>
        <v>9</v>
      </c>
      <c r="J23" s="45" t="s">
        <v>1205</v>
      </c>
      <c r="K23" s="48">
        <v>4</v>
      </c>
      <c r="L23" s="45">
        <f t="shared" si="7"/>
        <v>163</v>
      </c>
      <c r="M23" s="45">
        <v>49</v>
      </c>
      <c r="N23" s="45">
        <v>51</v>
      </c>
      <c r="O23" s="45">
        <v>63</v>
      </c>
      <c r="P23" s="54"/>
      <c r="Q23" s="54"/>
      <c r="R23" s="46">
        <f t="shared" si="9"/>
        <v>198</v>
      </c>
      <c r="S23" s="47">
        <f t="shared" si="10"/>
        <v>0.40490797546012269</v>
      </c>
      <c r="T23" s="47">
        <f t="shared" si="11"/>
        <v>0.30061349693251532</v>
      </c>
      <c r="U23" s="43">
        <f t="shared" ref="U23:V28" si="15">RANK(S23,S$2:S$52,0)</f>
        <v>26</v>
      </c>
      <c r="V23" s="43">
        <f t="shared" si="15"/>
        <v>25</v>
      </c>
    </row>
    <row r="24" spans="1:23" x14ac:dyDescent="0.2">
      <c r="A24" s="38">
        <f>MAX(A$2:A23)+1</f>
        <v>18</v>
      </c>
      <c r="B24" s="38" t="s">
        <v>146</v>
      </c>
      <c r="C24" s="39">
        <v>33547</v>
      </c>
      <c r="D24" s="39">
        <v>34040</v>
      </c>
      <c r="E24" s="40">
        <f t="shared" si="13"/>
        <v>493</v>
      </c>
      <c r="F24" s="41">
        <f t="shared" si="0"/>
        <v>1.3497604380561259</v>
      </c>
      <c r="G24" s="42" t="s">
        <v>152</v>
      </c>
      <c r="H24" s="43">
        <f t="shared" ca="1" si="14"/>
        <v>22</v>
      </c>
      <c r="J24" s="45" t="s">
        <v>1204</v>
      </c>
      <c r="K24" s="48">
        <v>4</v>
      </c>
      <c r="L24" s="45">
        <f t="shared" si="7"/>
        <v>72</v>
      </c>
      <c r="M24" s="45">
        <v>21</v>
      </c>
      <c r="N24" s="45">
        <v>26</v>
      </c>
      <c r="O24" s="45">
        <v>25</v>
      </c>
      <c r="P24" s="58"/>
      <c r="Q24" s="58"/>
      <c r="R24" s="46">
        <f t="shared" si="9"/>
        <v>89</v>
      </c>
      <c r="S24" s="47">
        <f t="shared" si="10"/>
        <v>0.41203703703703703</v>
      </c>
      <c r="T24" s="47">
        <f t="shared" si="11"/>
        <v>0.29166666666666669</v>
      </c>
      <c r="U24" s="43">
        <f t="shared" si="15"/>
        <v>25</v>
      </c>
      <c r="V24" s="43">
        <f t="shared" si="15"/>
        <v>29</v>
      </c>
    </row>
    <row r="25" spans="1:23" x14ac:dyDescent="0.2">
      <c r="A25" s="38">
        <f>MAX(A$2:A24)+1</f>
        <v>19</v>
      </c>
      <c r="B25" s="38" t="s">
        <v>147</v>
      </c>
      <c r="C25" s="39">
        <v>34040</v>
      </c>
      <c r="D25" s="39">
        <v>36234</v>
      </c>
      <c r="E25" s="40">
        <f t="shared" si="13"/>
        <v>2194</v>
      </c>
      <c r="F25" s="41">
        <f t="shared" si="0"/>
        <v>6.0068446269678306</v>
      </c>
      <c r="G25" s="42" t="s">
        <v>152</v>
      </c>
      <c r="H25" s="43">
        <f t="shared" ca="1" si="14"/>
        <v>4</v>
      </c>
      <c r="J25" s="42" t="s">
        <v>1203</v>
      </c>
      <c r="K25" s="44">
        <v>3</v>
      </c>
      <c r="L25" s="45">
        <f t="shared" si="7"/>
        <v>328</v>
      </c>
      <c r="M25" s="45">
        <v>113</v>
      </c>
      <c r="N25" s="45">
        <v>89</v>
      </c>
      <c r="O25" s="45">
        <v>126</v>
      </c>
      <c r="P25" s="54"/>
      <c r="Q25" s="54"/>
      <c r="R25" s="46">
        <f t="shared" si="9"/>
        <v>428</v>
      </c>
      <c r="S25" s="47">
        <f t="shared" si="10"/>
        <v>0.43495934959349591</v>
      </c>
      <c r="T25" s="47">
        <f t="shared" si="11"/>
        <v>0.34451219512195119</v>
      </c>
      <c r="U25" s="43">
        <f t="shared" si="15"/>
        <v>17</v>
      </c>
      <c r="V25" s="43">
        <f t="shared" si="15"/>
        <v>18</v>
      </c>
    </row>
    <row r="26" spans="1:23" x14ac:dyDescent="0.2">
      <c r="A26" s="38">
        <f>MAX(A$2:A25)+1</f>
        <v>20</v>
      </c>
      <c r="B26" s="38" t="s">
        <v>156</v>
      </c>
      <c r="C26" s="39">
        <v>36235</v>
      </c>
      <c r="D26" s="39">
        <v>36565</v>
      </c>
      <c r="E26" s="40">
        <f t="shared" si="13"/>
        <v>330</v>
      </c>
      <c r="F26" s="41">
        <f t="shared" si="0"/>
        <v>0.90349075975359339</v>
      </c>
      <c r="G26" s="42" t="s">
        <v>152</v>
      </c>
      <c r="H26" s="43">
        <f t="shared" ca="1" si="14"/>
        <v>31</v>
      </c>
      <c r="J26" s="42" t="s">
        <v>1201</v>
      </c>
      <c r="K26" s="44">
        <v>4</v>
      </c>
      <c r="L26" s="45">
        <f t="shared" si="7"/>
        <v>45</v>
      </c>
      <c r="M26" s="45">
        <v>11</v>
      </c>
      <c r="N26" s="45">
        <v>11</v>
      </c>
      <c r="O26" s="45">
        <v>23</v>
      </c>
      <c r="P26" s="56"/>
      <c r="Q26" s="56"/>
      <c r="R26" s="46">
        <f t="shared" si="9"/>
        <v>44</v>
      </c>
      <c r="S26" s="47">
        <f t="shared" si="10"/>
        <v>0.32592592592592595</v>
      </c>
      <c r="T26" s="47">
        <f t="shared" si="11"/>
        <v>0.24444444444444444</v>
      </c>
      <c r="U26" s="43">
        <f t="shared" si="15"/>
        <v>34</v>
      </c>
      <c r="V26" s="43">
        <f t="shared" si="15"/>
        <v>33</v>
      </c>
    </row>
    <row r="27" spans="1:23" x14ac:dyDescent="0.2">
      <c r="A27" s="38">
        <f>MAX(A$2:A26)+1</f>
        <v>21</v>
      </c>
      <c r="B27" s="38" t="s">
        <v>160</v>
      </c>
      <c r="C27" s="39">
        <v>36567</v>
      </c>
      <c r="D27" s="39">
        <v>37772</v>
      </c>
      <c r="E27" s="40">
        <f t="shared" si="13"/>
        <v>1205</v>
      </c>
      <c r="F27" s="41">
        <f t="shared" si="0"/>
        <v>3.2991101984941822</v>
      </c>
      <c r="G27" s="42" t="s">
        <v>152</v>
      </c>
      <c r="H27" s="43">
        <f t="shared" ca="1" si="14"/>
        <v>8</v>
      </c>
      <c r="J27" s="42" t="s">
        <v>1202</v>
      </c>
      <c r="K27" s="44">
        <v>4</v>
      </c>
      <c r="L27" s="45">
        <f t="shared" si="7"/>
        <v>173</v>
      </c>
      <c r="M27" s="45">
        <v>56</v>
      </c>
      <c r="N27" s="45">
        <v>50</v>
      </c>
      <c r="O27" s="45">
        <v>67</v>
      </c>
      <c r="P27" s="34"/>
      <c r="Q27" s="34"/>
      <c r="R27" s="46">
        <f t="shared" si="9"/>
        <v>218</v>
      </c>
      <c r="S27" s="47">
        <f t="shared" si="10"/>
        <v>0.42003853564547206</v>
      </c>
      <c r="T27" s="47">
        <f t="shared" si="11"/>
        <v>0.32369942196531792</v>
      </c>
      <c r="U27" s="43">
        <f t="shared" si="15"/>
        <v>22</v>
      </c>
      <c r="V27" s="43">
        <f t="shared" si="15"/>
        <v>22</v>
      </c>
    </row>
    <row r="28" spans="1:23" x14ac:dyDescent="0.2">
      <c r="A28" s="38">
        <f>MAX(A$2:A27)+1</f>
        <v>22</v>
      </c>
      <c r="B28" s="38" t="s">
        <v>202</v>
      </c>
      <c r="C28" s="39">
        <v>37776</v>
      </c>
      <c r="D28" s="39">
        <v>38299</v>
      </c>
      <c r="E28" s="40">
        <f t="shared" si="13"/>
        <v>523</v>
      </c>
      <c r="F28" s="41">
        <f t="shared" si="0"/>
        <v>1.431895961670089</v>
      </c>
      <c r="G28" s="42" t="s">
        <v>152</v>
      </c>
      <c r="H28" s="43">
        <f t="shared" ca="1" si="14"/>
        <v>21</v>
      </c>
      <c r="I28" s="59"/>
      <c r="J28" s="45" t="s">
        <v>1198</v>
      </c>
      <c r="K28" s="48">
        <v>5</v>
      </c>
      <c r="L28" s="45">
        <f t="shared" si="7"/>
        <v>67</v>
      </c>
      <c r="M28" s="45">
        <v>14</v>
      </c>
      <c r="N28" s="45">
        <v>18</v>
      </c>
      <c r="O28" s="45">
        <v>35</v>
      </c>
      <c r="R28" s="46">
        <f t="shared" si="9"/>
        <v>60</v>
      </c>
      <c r="S28" s="47">
        <f t="shared" si="10"/>
        <v>0.29850746268656714</v>
      </c>
      <c r="T28" s="47">
        <f t="shared" si="11"/>
        <v>0.20895522388059701</v>
      </c>
      <c r="U28" s="43">
        <f t="shared" si="15"/>
        <v>36</v>
      </c>
      <c r="V28" s="43">
        <f t="shared" si="15"/>
        <v>36</v>
      </c>
    </row>
    <row r="29" spans="1:23" s="45" customFormat="1" x14ac:dyDescent="0.2">
      <c r="A29" s="38"/>
      <c r="B29" s="49" t="s">
        <v>230</v>
      </c>
      <c r="C29" s="50">
        <v>38299</v>
      </c>
      <c r="D29" s="50">
        <v>38393</v>
      </c>
      <c r="E29" s="51">
        <f t="shared" si="13"/>
        <v>94</v>
      </c>
      <c r="F29" s="52"/>
      <c r="G29" s="49"/>
      <c r="H29" s="43"/>
      <c r="I29" s="60"/>
      <c r="J29" s="34"/>
      <c r="K29" s="35"/>
      <c r="L29" s="45">
        <f t="shared" si="7"/>
        <v>14</v>
      </c>
      <c r="M29" s="45">
        <v>4</v>
      </c>
      <c r="N29" s="45">
        <v>2</v>
      </c>
      <c r="O29" s="45">
        <v>8</v>
      </c>
      <c r="P29" s="45">
        <v>15</v>
      </c>
      <c r="Q29" s="45">
        <v>25</v>
      </c>
      <c r="R29" s="46">
        <f t="shared" si="9"/>
        <v>14</v>
      </c>
      <c r="S29" s="47"/>
      <c r="T29" s="47"/>
      <c r="U29" s="43"/>
      <c r="V29" s="43"/>
      <c r="W29" s="76"/>
    </row>
    <row r="30" spans="1:23" s="45" customFormat="1" x14ac:dyDescent="0.2">
      <c r="A30" s="38">
        <f>MAX(A$2:A29)+1</f>
        <v>23</v>
      </c>
      <c r="B30" s="38" t="s">
        <v>232</v>
      </c>
      <c r="C30" s="39">
        <v>38393</v>
      </c>
      <c r="D30" s="39">
        <v>39405</v>
      </c>
      <c r="E30" s="40">
        <f t="shared" ref="E30:E43" si="16">D30-C30</f>
        <v>1012</v>
      </c>
      <c r="F30" s="41">
        <f t="shared" si="0"/>
        <v>2.7707049965776864</v>
      </c>
      <c r="G30" s="42" t="s">
        <v>152</v>
      </c>
      <c r="H30" s="43">
        <f ca="1">RANK(F30,F$2:F$52,0)</f>
        <v>12</v>
      </c>
      <c r="I30" s="60"/>
      <c r="J30" s="45" t="s">
        <v>1197</v>
      </c>
      <c r="K30" s="48">
        <v>5</v>
      </c>
      <c r="L30" s="45">
        <f t="shared" si="7"/>
        <v>131</v>
      </c>
      <c r="M30" s="45">
        <v>52</v>
      </c>
      <c r="N30" s="45">
        <v>31</v>
      </c>
      <c r="O30" s="45">
        <v>48</v>
      </c>
      <c r="P30" s="45">
        <v>180</v>
      </c>
      <c r="Q30" s="45">
        <v>160</v>
      </c>
      <c r="R30" s="46">
        <f t="shared" si="9"/>
        <v>187</v>
      </c>
      <c r="S30" s="47">
        <f t="shared" si="10"/>
        <v>0.4758269720101781</v>
      </c>
      <c r="T30" s="47">
        <f t="shared" si="11"/>
        <v>0.39694656488549618</v>
      </c>
      <c r="U30" s="43">
        <f>RANK(S30,S$2:S$52,0)</f>
        <v>11</v>
      </c>
      <c r="V30" s="43">
        <f>RANK(T30,T$2:T$52,0)</f>
        <v>9</v>
      </c>
      <c r="W30" s="76" t="s">
        <v>1437</v>
      </c>
    </row>
    <row r="31" spans="1:23" s="45" customFormat="1" x14ac:dyDescent="0.2">
      <c r="A31" s="38">
        <f>MAX(A$2:A30)+1</f>
        <v>24</v>
      </c>
      <c r="B31" s="38" t="s">
        <v>353</v>
      </c>
      <c r="C31" s="39">
        <v>39405</v>
      </c>
      <c r="D31" s="39">
        <v>39774</v>
      </c>
      <c r="E31" s="40">
        <f t="shared" si="16"/>
        <v>369</v>
      </c>
      <c r="F31" s="41">
        <f t="shared" si="0"/>
        <v>1.0102669404517455</v>
      </c>
      <c r="G31" s="42" t="s">
        <v>152</v>
      </c>
      <c r="H31" s="43">
        <f ca="1">RANK(F31,F$2:F$52,0)</f>
        <v>27</v>
      </c>
      <c r="I31" s="60"/>
      <c r="J31" s="42" t="s">
        <v>1196</v>
      </c>
      <c r="K31" s="44">
        <v>5</v>
      </c>
      <c r="L31" s="45">
        <f t="shared" si="7"/>
        <v>58</v>
      </c>
      <c r="M31" s="45">
        <v>22</v>
      </c>
      <c r="N31" s="45">
        <v>20</v>
      </c>
      <c r="O31" s="45">
        <v>16</v>
      </c>
      <c r="P31" s="45">
        <v>84</v>
      </c>
      <c r="Q31" s="45">
        <v>74</v>
      </c>
      <c r="R31" s="46">
        <f t="shared" si="9"/>
        <v>86</v>
      </c>
      <c r="S31" s="47">
        <f t="shared" si="10"/>
        <v>0.4942528735632184</v>
      </c>
      <c r="T31" s="47">
        <f t="shared" si="11"/>
        <v>0.37931034482758619</v>
      </c>
      <c r="U31" s="43">
        <f>RANK(S31,S$2:S$52,0)</f>
        <v>8</v>
      </c>
      <c r="V31" s="43">
        <f>RANK(T31,T$2:T$52,0)</f>
        <v>12</v>
      </c>
      <c r="W31" s="76" t="s">
        <v>1437</v>
      </c>
    </row>
    <row r="32" spans="1:23" s="45" customFormat="1" x14ac:dyDescent="0.2">
      <c r="A32" s="38"/>
      <c r="B32" s="49" t="s">
        <v>1113</v>
      </c>
      <c r="C32" s="50">
        <v>39773</v>
      </c>
      <c r="D32" s="50">
        <v>39776</v>
      </c>
      <c r="E32" s="51">
        <f t="shared" si="16"/>
        <v>3</v>
      </c>
      <c r="F32" s="52"/>
      <c r="G32" s="49"/>
      <c r="H32" s="43"/>
      <c r="I32" s="60"/>
      <c r="J32" s="34"/>
      <c r="K32" s="35"/>
      <c r="L32" s="45">
        <f t="shared" si="7"/>
        <v>1</v>
      </c>
      <c r="M32" s="45">
        <v>0</v>
      </c>
      <c r="N32" s="45">
        <v>1</v>
      </c>
      <c r="O32" s="45">
        <v>0</v>
      </c>
      <c r="P32" s="45">
        <v>2</v>
      </c>
      <c r="Q32" s="45">
        <v>2</v>
      </c>
      <c r="R32" s="46">
        <f t="shared" si="9"/>
        <v>1</v>
      </c>
      <c r="S32" s="47"/>
      <c r="T32" s="47"/>
      <c r="U32" s="43"/>
      <c r="V32" s="43"/>
      <c r="W32" s="76"/>
    </row>
    <row r="33" spans="1:23" s="45" customFormat="1" x14ac:dyDescent="0.2">
      <c r="A33" s="38">
        <f>MAX(A$2:A31)+1</f>
        <v>25</v>
      </c>
      <c r="B33" s="38" t="s">
        <v>370</v>
      </c>
      <c r="C33" s="39">
        <v>39776</v>
      </c>
      <c r="D33" s="39">
        <v>40444</v>
      </c>
      <c r="E33" s="40">
        <f t="shared" si="16"/>
        <v>668</v>
      </c>
      <c r="F33" s="41">
        <f t="shared" si="0"/>
        <v>1.8288843258042438</v>
      </c>
      <c r="G33" s="42" t="s">
        <v>152</v>
      </c>
      <c r="H33" s="43">
        <f ca="1">RANK(F33,F$2:F$52,0)</f>
        <v>17</v>
      </c>
      <c r="I33" s="60"/>
      <c r="J33" s="42" t="s">
        <v>1195</v>
      </c>
      <c r="K33" s="44">
        <v>5</v>
      </c>
      <c r="L33" s="45">
        <f t="shared" si="7"/>
        <v>102</v>
      </c>
      <c r="M33" s="45">
        <v>44</v>
      </c>
      <c r="N33" s="45">
        <v>30</v>
      </c>
      <c r="O33" s="45">
        <v>28</v>
      </c>
      <c r="P33" s="45">
        <v>125</v>
      </c>
      <c r="Q33" s="45">
        <v>91</v>
      </c>
      <c r="R33" s="46">
        <f t="shared" si="9"/>
        <v>162</v>
      </c>
      <c r="S33" s="47">
        <f t="shared" si="10"/>
        <v>0.52941176470588236</v>
      </c>
      <c r="T33" s="47">
        <f t="shared" si="11"/>
        <v>0.43137254901960786</v>
      </c>
      <c r="U33" s="43">
        <f>RANK(S33,S$2:S$52,0)</f>
        <v>6</v>
      </c>
      <c r="V33" s="43">
        <f>RANK(T33,T$2:T$52,0)</f>
        <v>5</v>
      </c>
      <c r="W33" s="76" t="s">
        <v>1437</v>
      </c>
    </row>
    <row r="34" spans="1:23" s="45" customFormat="1" x14ac:dyDescent="0.2">
      <c r="A34" s="38"/>
      <c r="B34" s="49" t="s">
        <v>1112</v>
      </c>
      <c r="C34" s="50">
        <v>40445</v>
      </c>
      <c r="D34" s="50">
        <v>40457</v>
      </c>
      <c r="E34" s="51">
        <f t="shared" si="16"/>
        <v>12</v>
      </c>
      <c r="F34" s="52"/>
      <c r="G34" s="49"/>
      <c r="H34" s="43"/>
      <c r="I34" s="60"/>
      <c r="J34" s="34"/>
      <c r="K34" s="35"/>
      <c r="L34" s="45">
        <f t="shared" si="7"/>
        <v>4</v>
      </c>
      <c r="M34" s="45">
        <v>1</v>
      </c>
      <c r="N34" s="45">
        <v>1</v>
      </c>
      <c r="O34" s="45">
        <v>2</v>
      </c>
      <c r="P34" s="45">
        <v>4</v>
      </c>
      <c r="Q34" s="45">
        <v>4</v>
      </c>
      <c r="R34" s="46">
        <f t="shared" si="9"/>
        <v>4</v>
      </c>
      <c r="S34" s="47"/>
      <c r="T34" s="47"/>
      <c r="U34" s="43"/>
      <c r="V34" s="43"/>
      <c r="W34" s="76"/>
    </row>
    <row r="35" spans="1:23" s="45" customFormat="1" x14ac:dyDescent="0.2">
      <c r="A35" s="38"/>
      <c r="B35" s="49" t="s">
        <v>1111</v>
      </c>
      <c r="C35" s="50">
        <v>40459</v>
      </c>
      <c r="D35" s="50">
        <v>40464</v>
      </c>
      <c r="E35" s="51">
        <f t="shared" si="16"/>
        <v>5</v>
      </c>
      <c r="F35" s="52"/>
      <c r="G35" s="49"/>
      <c r="H35" s="43"/>
      <c r="I35" s="60"/>
      <c r="J35" s="34"/>
      <c r="K35" s="35"/>
      <c r="L35" s="45">
        <f t="shared" si="7"/>
        <v>1</v>
      </c>
      <c r="M35" s="45">
        <v>0</v>
      </c>
      <c r="N35" s="45">
        <v>0</v>
      </c>
      <c r="O35" s="45">
        <v>1</v>
      </c>
      <c r="P35" s="45">
        <v>0</v>
      </c>
      <c r="Q35" s="45">
        <v>4</v>
      </c>
      <c r="R35" s="46">
        <f t="shared" si="9"/>
        <v>0</v>
      </c>
      <c r="S35" s="47"/>
      <c r="T35" s="47"/>
      <c r="U35" s="43"/>
      <c r="V35" s="43"/>
      <c r="W35" s="76"/>
    </row>
    <row r="36" spans="1:23" s="45" customFormat="1" x14ac:dyDescent="0.2">
      <c r="A36" s="38">
        <f>MAX(A$2:A33)+1</f>
        <v>26</v>
      </c>
      <c r="B36" s="38" t="s">
        <v>980</v>
      </c>
      <c r="C36" s="39">
        <v>40464</v>
      </c>
      <c r="D36" s="39">
        <v>41335</v>
      </c>
      <c r="E36" s="40">
        <f t="shared" si="16"/>
        <v>871</v>
      </c>
      <c r="F36" s="41">
        <f t="shared" si="0"/>
        <v>2.3846680355920604</v>
      </c>
      <c r="G36" s="42" t="s">
        <v>152</v>
      </c>
      <c r="H36" s="43">
        <f ca="1">RANK(F36,F$2:F$52,0)</f>
        <v>15</v>
      </c>
      <c r="I36" s="60"/>
      <c r="J36" s="45" t="s">
        <v>1194</v>
      </c>
      <c r="K36" s="48">
        <v>4</v>
      </c>
      <c r="L36" s="45">
        <f t="shared" si="7"/>
        <v>133</v>
      </c>
      <c r="M36" s="45">
        <v>56</v>
      </c>
      <c r="N36" s="45">
        <v>44</v>
      </c>
      <c r="O36" s="45">
        <v>33</v>
      </c>
      <c r="P36" s="45">
        <v>190</v>
      </c>
      <c r="Q36" s="45">
        <v>146</v>
      </c>
      <c r="R36" s="46">
        <f t="shared" si="9"/>
        <v>212</v>
      </c>
      <c r="S36" s="47">
        <f t="shared" si="10"/>
        <v>0.53132832080200498</v>
      </c>
      <c r="T36" s="47">
        <f t="shared" si="11"/>
        <v>0.42105263157894735</v>
      </c>
      <c r="U36" s="43">
        <f t="shared" ref="U36:V38" si="17">RANK(S36,S$2:S$52,0)</f>
        <v>5</v>
      </c>
      <c r="V36" s="43">
        <f t="shared" si="17"/>
        <v>6</v>
      </c>
      <c r="W36" s="76" t="s">
        <v>1437</v>
      </c>
    </row>
    <row r="37" spans="1:23" s="45" customFormat="1" x14ac:dyDescent="0.2">
      <c r="A37" s="38">
        <f>MAX(A$2:A36)+1</f>
        <v>27</v>
      </c>
      <c r="B37" s="38" t="s">
        <v>1024</v>
      </c>
      <c r="C37" s="39">
        <v>41337</v>
      </c>
      <c r="D37" s="39">
        <v>41925</v>
      </c>
      <c r="E37" s="40">
        <f t="shared" si="16"/>
        <v>588</v>
      </c>
      <c r="F37" s="41">
        <f t="shared" si="0"/>
        <v>1.6098562628336757</v>
      </c>
      <c r="G37" s="42" t="s">
        <v>152</v>
      </c>
      <c r="H37" s="43">
        <f ca="1">RANK(F37,F$2:F$52,0)</f>
        <v>20</v>
      </c>
      <c r="I37" s="60"/>
      <c r="J37" s="42" t="s">
        <v>1199</v>
      </c>
      <c r="K37" s="44">
        <v>4</v>
      </c>
      <c r="L37" s="45">
        <f t="shared" si="7"/>
        <v>76</v>
      </c>
      <c r="M37" s="46">
        <v>23</v>
      </c>
      <c r="N37" s="46">
        <v>29</v>
      </c>
      <c r="O37" s="46">
        <v>24</v>
      </c>
      <c r="P37" s="46">
        <v>79</v>
      </c>
      <c r="Q37" s="46">
        <v>84</v>
      </c>
      <c r="R37" s="46">
        <f t="shared" si="9"/>
        <v>98</v>
      </c>
      <c r="S37" s="47">
        <f t="shared" si="10"/>
        <v>0.42982456140350878</v>
      </c>
      <c r="T37" s="47">
        <f t="shared" si="11"/>
        <v>0.30263157894736842</v>
      </c>
      <c r="U37" s="43">
        <f t="shared" si="17"/>
        <v>19</v>
      </c>
      <c r="V37" s="43">
        <f t="shared" si="17"/>
        <v>24</v>
      </c>
      <c r="W37" s="76"/>
    </row>
    <row r="38" spans="1:23" s="45" customFormat="1" x14ac:dyDescent="0.2">
      <c r="A38" s="38">
        <f>MAX(A$2:A37)+1</f>
        <v>28</v>
      </c>
      <c r="B38" s="38" t="s">
        <v>1032</v>
      </c>
      <c r="C38" s="39">
        <v>41927</v>
      </c>
      <c r="D38" s="39">
        <v>42302</v>
      </c>
      <c r="E38" s="40">
        <f>D38-C38</f>
        <v>375</v>
      </c>
      <c r="F38" s="41">
        <f t="shared" si="0"/>
        <v>1.0266940451745379</v>
      </c>
      <c r="G38" s="42" t="s">
        <v>152</v>
      </c>
      <c r="H38" s="43">
        <f ca="1">RANK(F38,F$2:F$52,0)</f>
        <v>26</v>
      </c>
      <c r="I38" s="60"/>
      <c r="J38" s="45" t="s">
        <v>1193</v>
      </c>
      <c r="K38" s="48">
        <v>4</v>
      </c>
      <c r="L38" s="45">
        <f t="shared" si="7"/>
        <v>54</v>
      </c>
      <c r="M38" s="46">
        <v>13</v>
      </c>
      <c r="N38" s="46">
        <v>20</v>
      </c>
      <c r="O38" s="46">
        <v>21</v>
      </c>
      <c r="P38" s="46">
        <v>59</v>
      </c>
      <c r="Q38" s="46">
        <v>68</v>
      </c>
      <c r="R38" s="46">
        <f t="shared" si="9"/>
        <v>59</v>
      </c>
      <c r="S38" s="47">
        <f t="shared" si="10"/>
        <v>0.36419753086419754</v>
      </c>
      <c r="T38" s="47">
        <f t="shared" si="11"/>
        <v>0.24074074074074073</v>
      </c>
      <c r="U38" s="43">
        <f t="shared" si="17"/>
        <v>30</v>
      </c>
      <c r="V38" s="43">
        <f t="shared" si="17"/>
        <v>34</v>
      </c>
      <c r="W38" s="76"/>
    </row>
    <row r="39" spans="1:23" s="45" customFormat="1" x14ac:dyDescent="0.2">
      <c r="A39" s="38"/>
      <c r="B39" s="49" t="s">
        <v>1110</v>
      </c>
      <c r="C39" s="50">
        <v>42303</v>
      </c>
      <c r="D39" s="50">
        <v>42312</v>
      </c>
      <c r="E39" s="51">
        <f>D39-C39</f>
        <v>9</v>
      </c>
      <c r="F39" s="52"/>
      <c r="G39" s="49"/>
      <c r="H39" s="43"/>
      <c r="I39" s="60"/>
      <c r="J39" s="34"/>
      <c r="K39" s="35"/>
      <c r="L39" s="45">
        <f t="shared" si="7"/>
        <v>1</v>
      </c>
      <c r="M39" s="46">
        <v>0</v>
      </c>
      <c r="N39" s="46">
        <v>0</v>
      </c>
      <c r="O39" s="46">
        <v>1</v>
      </c>
      <c r="P39" s="46">
        <v>0</v>
      </c>
      <c r="Q39" s="46">
        <v>1</v>
      </c>
      <c r="R39" s="46">
        <f t="shared" si="9"/>
        <v>0</v>
      </c>
      <c r="S39" s="47"/>
      <c r="T39" s="47"/>
      <c r="U39" s="43"/>
      <c r="V39" s="43"/>
      <c r="W39" s="76"/>
    </row>
    <row r="40" spans="1:23" s="45" customFormat="1" x14ac:dyDescent="0.2">
      <c r="A40" s="38">
        <f>MAX(A$2:A38)+1</f>
        <v>29</v>
      </c>
      <c r="B40" s="38" t="s">
        <v>1077</v>
      </c>
      <c r="C40" s="39">
        <v>42312</v>
      </c>
      <c r="D40" s="39">
        <v>42658</v>
      </c>
      <c r="E40" s="40">
        <f>D40-C40</f>
        <v>346</v>
      </c>
      <c r="F40" s="41">
        <f t="shared" si="0"/>
        <v>0.94729637234770703</v>
      </c>
      <c r="G40" s="42" t="s">
        <v>152</v>
      </c>
      <c r="H40" s="43">
        <f t="shared" ref="H40:H45" ca="1" si="18">RANK(F40,F$2:F$52,0)</f>
        <v>30</v>
      </c>
      <c r="I40" s="60"/>
      <c r="J40" s="45" t="s">
        <v>1192</v>
      </c>
      <c r="K40" s="48">
        <v>5</v>
      </c>
      <c r="L40" s="45">
        <f t="shared" si="7"/>
        <v>47</v>
      </c>
      <c r="M40" s="46">
        <v>8</v>
      </c>
      <c r="N40" s="46">
        <v>12</v>
      </c>
      <c r="O40" s="46">
        <v>27</v>
      </c>
      <c r="P40" s="46">
        <v>52</v>
      </c>
      <c r="Q40" s="46">
        <v>89</v>
      </c>
      <c r="R40" s="46">
        <f t="shared" si="9"/>
        <v>36</v>
      </c>
      <c r="S40" s="47">
        <f t="shared" si="10"/>
        <v>0.25531914893617019</v>
      </c>
      <c r="T40" s="47">
        <f t="shared" si="11"/>
        <v>0.1702127659574468</v>
      </c>
      <c r="U40" s="43">
        <f t="shared" ref="U40:V45" si="19">RANK(S40,S$2:S$52,0)</f>
        <v>37</v>
      </c>
      <c r="V40" s="43">
        <f t="shared" si="19"/>
        <v>37</v>
      </c>
      <c r="W40" s="76"/>
    </row>
    <row r="41" spans="1:23" s="45" customFormat="1" x14ac:dyDescent="0.2">
      <c r="A41" s="38">
        <f>MAX(A$2:A40)+1</f>
        <v>30</v>
      </c>
      <c r="B41" s="38" t="s">
        <v>980</v>
      </c>
      <c r="C41" s="39">
        <v>42659</v>
      </c>
      <c r="D41" s="39">
        <v>43008</v>
      </c>
      <c r="E41" s="40">
        <f t="shared" si="16"/>
        <v>349</v>
      </c>
      <c r="F41" s="41">
        <f t="shared" si="0"/>
        <v>0.95550992470910334</v>
      </c>
      <c r="G41" s="42" t="s">
        <v>152</v>
      </c>
      <c r="H41" s="43">
        <f t="shared" ca="1" si="18"/>
        <v>29</v>
      </c>
      <c r="I41" s="60"/>
      <c r="J41" s="42" t="s">
        <v>1190</v>
      </c>
      <c r="K41" s="44">
        <v>6</v>
      </c>
      <c r="L41" s="45">
        <f t="shared" si="7"/>
        <v>53</v>
      </c>
      <c r="M41" s="46">
        <v>20</v>
      </c>
      <c r="N41" s="46">
        <v>17</v>
      </c>
      <c r="O41" s="46">
        <v>16</v>
      </c>
      <c r="P41" s="46">
        <v>78</v>
      </c>
      <c r="Q41" s="46">
        <v>70</v>
      </c>
      <c r="R41" s="46">
        <f t="shared" si="9"/>
        <v>77</v>
      </c>
      <c r="S41" s="47">
        <f t="shared" si="10"/>
        <v>0.48427672955974843</v>
      </c>
      <c r="T41" s="47">
        <f t="shared" si="11"/>
        <v>0.37735849056603776</v>
      </c>
      <c r="U41" s="43">
        <f t="shared" si="19"/>
        <v>10</v>
      </c>
      <c r="V41" s="43">
        <f t="shared" si="19"/>
        <v>14</v>
      </c>
      <c r="W41" s="76" t="s">
        <v>1437</v>
      </c>
    </row>
    <row r="42" spans="1:23" x14ac:dyDescent="0.2">
      <c r="A42" s="38">
        <f>MAX(A$2:A41)+1</f>
        <v>31</v>
      </c>
      <c r="B42" s="38" t="s">
        <v>1097</v>
      </c>
      <c r="C42" s="39">
        <v>43009</v>
      </c>
      <c r="D42" s="39">
        <v>43331</v>
      </c>
      <c r="E42" s="40">
        <f t="shared" si="16"/>
        <v>322</v>
      </c>
      <c r="F42" s="41">
        <f t="shared" si="0"/>
        <v>0.88158795345653662</v>
      </c>
      <c r="G42" s="42" t="s">
        <v>152</v>
      </c>
      <c r="H42" s="43">
        <f t="shared" ca="1" si="18"/>
        <v>32</v>
      </c>
      <c r="I42" s="59"/>
      <c r="J42" s="45" t="s">
        <v>1189</v>
      </c>
      <c r="K42" s="48">
        <v>6</v>
      </c>
      <c r="L42" s="45">
        <f t="shared" si="7"/>
        <v>37</v>
      </c>
      <c r="M42" s="46">
        <v>14</v>
      </c>
      <c r="N42" s="46">
        <v>8</v>
      </c>
      <c r="O42" s="46">
        <v>15</v>
      </c>
      <c r="P42" s="46">
        <v>50</v>
      </c>
      <c r="Q42" s="46">
        <v>51</v>
      </c>
      <c r="R42" s="46">
        <f t="shared" si="9"/>
        <v>50</v>
      </c>
      <c r="S42" s="47">
        <f t="shared" si="10"/>
        <v>0.45045045045045046</v>
      </c>
      <c r="T42" s="47">
        <f t="shared" si="11"/>
        <v>0.3783783783783784</v>
      </c>
      <c r="U42" s="43">
        <f t="shared" si="19"/>
        <v>13</v>
      </c>
      <c r="V42" s="43">
        <f t="shared" si="19"/>
        <v>13</v>
      </c>
    </row>
    <row r="43" spans="1:23" x14ac:dyDescent="0.2">
      <c r="A43" s="38">
        <f>MAX(A$2:A42)+1</f>
        <v>32</v>
      </c>
      <c r="B43" s="38" t="s">
        <v>1116</v>
      </c>
      <c r="C43" s="39">
        <v>43332</v>
      </c>
      <c r="D43" s="39">
        <v>43470</v>
      </c>
      <c r="E43" s="40">
        <f t="shared" si="16"/>
        <v>138</v>
      </c>
      <c r="F43" s="41">
        <f t="shared" si="0"/>
        <v>0.37782340862422997</v>
      </c>
      <c r="G43" s="42" t="s">
        <v>152</v>
      </c>
      <c r="H43" s="43">
        <f t="shared" ca="1" si="18"/>
        <v>36</v>
      </c>
      <c r="I43" s="59"/>
      <c r="J43" s="42" t="s">
        <v>1187</v>
      </c>
      <c r="K43" s="44">
        <v>6</v>
      </c>
      <c r="L43" s="45">
        <f t="shared" si="7"/>
        <v>26</v>
      </c>
      <c r="M43" s="46">
        <v>10</v>
      </c>
      <c r="N43" s="46">
        <v>5</v>
      </c>
      <c r="O43" s="46">
        <v>11</v>
      </c>
      <c r="P43" s="46">
        <v>38</v>
      </c>
      <c r="Q43" s="46">
        <v>39</v>
      </c>
      <c r="R43" s="46">
        <f t="shared" si="9"/>
        <v>35</v>
      </c>
      <c r="S43" s="47">
        <f t="shared" si="10"/>
        <v>0.44871794871794873</v>
      </c>
      <c r="T43" s="47">
        <f t="shared" si="11"/>
        <v>0.38461538461538464</v>
      </c>
      <c r="U43" s="43">
        <f t="shared" si="19"/>
        <v>14</v>
      </c>
      <c r="V43" s="43">
        <f t="shared" si="19"/>
        <v>10</v>
      </c>
    </row>
    <row r="44" spans="1:23" x14ac:dyDescent="0.2">
      <c r="A44" s="38">
        <f>MAX(A$2:A43)+1</f>
        <v>33</v>
      </c>
      <c r="B44" s="38" t="s">
        <v>1124</v>
      </c>
      <c r="C44" s="39">
        <v>43479</v>
      </c>
      <c r="D44" s="39">
        <v>44513</v>
      </c>
      <c r="E44" s="40">
        <f t="shared" ref="E44:E50" si="20">D44-C44</f>
        <v>1034</v>
      </c>
      <c r="F44" s="41">
        <f>(D44-C44)/365.25</f>
        <v>2.8309377138945928</v>
      </c>
      <c r="G44" s="42" t="s">
        <v>152</v>
      </c>
      <c r="H44" s="43">
        <f t="shared" ca="1" si="18"/>
        <v>11</v>
      </c>
      <c r="I44" s="59"/>
      <c r="J44" s="42" t="s">
        <v>1188</v>
      </c>
      <c r="K44" s="44">
        <v>6</v>
      </c>
      <c r="L44" s="45">
        <f t="shared" ref="L44:L50" si="21">SUM(M44:O44)</f>
        <v>91</v>
      </c>
      <c r="M44" s="46">
        <f>M99</f>
        <v>46</v>
      </c>
      <c r="N44" s="46">
        <f>N99</f>
        <v>20</v>
      </c>
      <c r="O44" s="46">
        <f>O99</f>
        <v>25</v>
      </c>
      <c r="P44" s="46">
        <f>P99</f>
        <v>140</v>
      </c>
      <c r="Q44" s="46">
        <f>Q99</f>
        <v>100</v>
      </c>
      <c r="R44" s="46">
        <f>M44*3+N44</f>
        <v>158</v>
      </c>
      <c r="S44" s="47">
        <f>R44/(L44*3)</f>
        <v>0.57875457875457881</v>
      </c>
      <c r="T44" s="47">
        <f>M44/L44</f>
        <v>0.50549450549450547</v>
      </c>
      <c r="U44" s="43">
        <f t="shared" si="19"/>
        <v>2</v>
      </c>
      <c r="V44" s="43">
        <f t="shared" si="19"/>
        <v>2</v>
      </c>
      <c r="W44" s="76" t="s">
        <v>1437</v>
      </c>
    </row>
    <row r="45" spans="1:23" x14ac:dyDescent="0.2">
      <c r="A45" s="38">
        <f>MAX(A$2:A44)+1</f>
        <v>34</v>
      </c>
      <c r="B45" s="38" t="s">
        <v>1176</v>
      </c>
      <c r="C45" s="39">
        <v>44514</v>
      </c>
      <c r="D45" s="39">
        <v>44881</v>
      </c>
      <c r="E45" s="40">
        <f t="shared" si="20"/>
        <v>367</v>
      </c>
      <c r="F45" s="41">
        <f>(D45-C45)/365.25</f>
        <v>1.0047912388774811</v>
      </c>
      <c r="G45" s="42" t="s">
        <v>152</v>
      </c>
      <c r="H45" s="43">
        <f t="shared" ca="1" si="18"/>
        <v>28</v>
      </c>
      <c r="I45" s="59"/>
      <c r="J45" s="42" t="s">
        <v>1429</v>
      </c>
      <c r="K45" s="44">
        <v>5</v>
      </c>
      <c r="L45" s="45">
        <f t="shared" si="21"/>
        <v>59</v>
      </c>
      <c r="M45" s="46">
        <f t="shared" ref="M45:R45" si="22">M86</f>
        <v>27</v>
      </c>
      <c r="N45" s="46">
        <f t="shared" si="22"/>
        <v>15</v>
      </c>
      <c r="O45" s="46">
        <f t="shared" si="22"/>
        <v>17</v>
      </c>
      <c r="P45" s="46">
        <f t="shared" si="22"/>
        <v>76</v>
      </c>
      <c r="Q45" s="46">
        <f t="shared" si="22"/>
        <v>62</v>
      </c>
      <c r="R45" s="46">
        <f t="shared" si="22"/>
        <v>96</v>
      </c>
      <c r="S45" s="47">
        <f>R45/(L45*3)</f>
        <v>0.5423728813559322</v>
      </c>
      <c r="T45" s="47">
        <f>M45/L45</f>
        <v>0.4576271186440678</v>
      </c>
      <c r="U45" s="43">
        <f t="shared" si="19"/>
        <v>3</v>
      </c>
      <c r="V45" s="43">
        <f t="shared" si="19"/>
        <v>4</v>
      </c>
      <c r="W45" s="76" t="s">
        <v>1437</v>
      </c>
    </row>
    <row r="46" spans="1:23" s="45" customFormat="1" x14ac:dyDescent="0.2">
      <c r="A46" s="38"/>
      <c r="B46" s="49" t="s">
        <v>1443</v>
      </c>
      <c r="C46" s="50">
        <v>44882</v>
      </c>
      <c r="D46" s="50">
        <v>44898</v>
      </c>
      <c r="E46" s="51">
        <f t="shared" si="20"/>
        <v>16</v>
      </c>
      <c r="F46" s="52"/>
      <c r="G46" s="49"/>
      <c r="H46" s="43"/>
      <c r="I46" s="60"/>
      <c r="J46" s="34"/>
      <c r="K46" s="35"/>
      <c r="L46" s="45">
        <f t="shared" si="21"/>
        <v>3</v>
      </c>
      <c r="M46" s="46">
        <v>0</v>
      </c>
      <c r="N46" s="46">
        <v>1</v>
      </c>
      <c r="O46" s="46">
        <v>2</v>
      </c>
      <c r="P46" s="46">
        <v>2</v>
      </c>
      <c r="Q46" s="46">
        <v>4</v>
      </c>
      <c r="R46" s="46">
        <f>M46*3+N46</f>
        <v>1</v>
      </c>
      <c r="S46" s="47"/>
      <c r="T46" s="47"/>
      <c r="U46" s="43"/>
      <c r="V46" s="43"/>
      <c r="W46" s="76"/>
    </row>
    <row r="47" spans="1:23" x14ac:dyDescent="0.2">
      <c r="A47" s="38">
        <f>MAX(A$2:A46)+1</f>
        <v>35</v>
      </c>
      <c r="B47" s="38" t="s">
        <v>1444</v>
      </c>
      <c r="C47" s="39">
        <v>44900</v>
      </c>
      <c r="D47" s="39">
        <v>44965</v>
      </c>
      <c r="E47" s="40">
        <f t="shared" si="20"/>
        <v>65</v>
      </c>
      <c r="F47" s="41">
        <f>(D47-C47)/365.25</f>
        <v>0.17796030116358658</v>
      </c>
      <c r="G47" s="42" t="s">
        <v>152</v>
      </c>
      <c r="H47" s="43">
        <f ca="1">RANK(F47,F$2:F$52,0)</f>
        <v>38</v>
      </c>
      <c r="I47" s="59"/>
      <c r="J47" s="45" t="s">
        <v>1610</v>
      </c>
      <c r="K47" s="48">
        <v>5</v>
      </c>
      <c r="L47" s="45">
        <f t="shared" si="21"/>
        <v>10</v>
      </c>
      <c r="M47" s="46">
        <v>3</v>
      </c>
      <c r="N47" s="46">
        <f>N78</f>
        <v>2</v>
      </c>
      <c r="O47" s="46">
        <f>O78</f>
        <v>5</v>
      </c>
      <c r="P47" s="46">
        <v>17</v>
      </c>
      <c r="Q47" s="46">
        <f>Q78</f>
        <v>16</v>
      </c>
      <c r="R47" s="46">
        <v>11</v>
      </c>
      <c r="S47" s="47">
        <f>R47/(L47*3)</f>
        <v>0.36666666666666664</v>
      </c>
      <c r="T47" s="47">
        <f>M47/L47</f>
        <v>0.3</v>
      </c>
      <c r="U47" s="43">
        <f>RANK(S47,S$2:S$52,0)</f>
        <v>28</v>
      </c>
      <c r="V47" s="43">
        <f>RANK(T47,T$2:T$52,0)</f>
        <v>26</v>
      </c>
    </row>
    <row r="48" spans="1:23" s="45" customFormat="1" x14ac:dyDescent="0.2">
      <c r="A48" s="38">
        <f>MAX(A$2:A47)+1</f>
        <v>36</v>
      </c>
      <c r="B48" s="38" t="s">
        <v>1609</v>
      </c>
      <c r="C48" s="39">
        <v>44966</v>
      </c>
      <c r="D48" s="39">
        <v>45166</v>
      </c>
      <c r="E48" s="40">
        <f t="shared" si="20"/>
        <v>200</v>
      </c>
      <c r="F48" s="41">
        <f>(D48-C48)/365.25</f>
        <v>0.54757015742642023</v>
      </c>
      <c r="G48" s="42" t="s">
        <v>152</v>
      </c>
      <c r="H48" s="43">
        <f ca="1">RANK(F48,F$2:F$52,0)</f>
        <v>34</v>
      </c>
      <c r="I48" s="60"/>
      <c r="J48" s="45" t="s">
        <v>1626</v>
      </c>
      <c r="K48" s="48">
        <v>5</v>
      </c>
      <c r="L48" s="45">
        <f t="shared" si="21"/>
        <v>24</v>
      </c>
      <c r="M48" s="46">
        <v>6</v>
      </c>
      <c r="N48" s="46">
        <v>7</v>
      </c>
      <c r="O48" s="46">
        <v>11</v>
      </c>
      <c r="P48" s="46">
        <v>30</v>
      </c>
      <c r="Q48" s="46">
        <v>37</v>
      </c>
      <c r="R48" s="46">
        <f>M48*3+N48</f>
        <v>25</v>
      </c>
      <c r="S48" s="47">
        <f>R48/(L48*3)</f>
        <v>0.34722222222222221</v>
      </c>
      <c r="T48" s="47">
        <f>M48/L48</f>
        <v>0.25</v>
      </c>
      <c r="U48" s="43">
        <f>RANK(S48,S$2:S$50,0)</f>
        <v>32</v>
      </c>
      <c r="V48" s="43">
        <f>RANK(T48,T$2:T$52,0)</f>
        <v>32</v>
      </c>
      <c r="W48" s="76"/>
    </row>
    <row r="49" spans="1:23" s="45" customFormat="1" x14ac:dyDescent="0.2">
      <c r="A49" s="38"/>
      <c r="B49" s="49" t="s">
        <v>1627</v>
      </c>
      <c r="C49" s="50">
        <v>45167</v>
      </c>
      <c r="D49" s="50">
        <v>45174</v>
      </c>
      <c r="E49" s="51">
        <f>D49-C49</f>
        <v>7</v>
      </c>
      <c r="F49" s="52"/>
      <c r="G49" s="49"/>
      <c r="H49" s="43"/>
      <c r="I49" s="60"/>
      <c r="J49" s="34"/>
      <c r="K49" s="35"/>
      <c r="L49" s="45">
        <f t="shared" si="21"/>
        <v>1</v>
      </c>
      <c r="M49" s="46">
        <v>0</v>
      </c>
      <c r="N49" s="46">
        <v>0</v>
      </c>
      <c r="O49" s="46">
        <v>1</v>
      </c>
      <c r="P49" s="46">
        <v>1</v>
      </c>
      <c r="Q49" s="46">
        <v>4</v>
      </c>
      <c r="R49" s="46">
        <f>M49*3+N49</f>
        <v>0</v>
      </c>
      <c r="S49" s="47"/>
      <c r="T49" s="47"/>
      <c r="U49" s="43"/>
      <c r="V49" s="43"/>
      <c r="W49" s="76"/>
    </row>
    <row r="50" spans="1:23" s="45" customFormat="1" x14ac:dyDescent="0.2">
      <c r="A50" s="38">
        <f>MAX(A$2:A48)+1</f>
        <v>37</v>
      </c>
      <c r="B50" s="38" t="s">
        <v>1634</v>
      </c>
      <c r="C50" s="39">
        <v>45175</v>
      </c>
      <c r="D50" s="39">
        <v>45348</v>
      </c>
      <c r="E50" s="40">
        <f t="shared" si="20"/>
        <v>173</v>
      </c>
      <c r="F50" s="41">
        <f>(D50-C50)/365.25</f>
        <v>0.47364818617385351</v>
      </c>
      <c r="G50" s="42" t="s">
        <v>152</v>
      </c>
      <c r="H50" s="43">
        <f ca="1">RANK(F50,F$2:F$52,0)</f>
        <v>35</v>
      </c>
      <c r="I50" s="60"/>
      <c r="J50" s="42" t="s">
        <v>1664</v>
      </c>
      <c r="K50" s="44">
        <v>5</v>
      </c>
      <c r="L50" s="45">
        <f t="shared" si="21"/>
        <v>34</v>
      </c>
      <c r="M50" s="46">
        <f>M67</f>
        <v>10</v>
      </c>
      <c r="N50" s="46">
        <f>N67</f>
        <v>14</v>
      </c>
      <c r="O50" s="46">
        <f>O67</f>
        <v>10</v>
      </c>
      <c r="P50" s="46">
        <f>P67</f>
        <v>40</v>
      </c>
      <c r="Q50" s="46">
        <f>Q67</f>
        <v>43</v>
      </c>
      <c r="R50" s="46">
        <f>M50*3+N50</f>
        <v>44</v>
      </c>
      <c r="S50" s="47">
        <f>R50/(L50*3)</f>
        <v>0.43137254901960786</v>
      </c>
      <c r="T50" s="47">
        <f>M50/L50</f>
        <v>0.29411764705882354</v>
      </c>
      <c r="U50" s="43">
        <f>RANK(S50,S$2:S$52,0)</f>
        <v>18</v>
      </c>
      <c r="V50" s="43">
        <f>RANK(T50,T$2:T$52,0)</f>
        <v>27</v>
      </c>
      <c r="W50" s="76"/>
    </row>
    <row r="51" spans="1:23" s="45" customFormat="1" x14ac:dyDescent="0.2">
      <c r="A51" s="38">
        <v>38</v>
      </c>
      <c r="B51" s="38" t="s">
        <v>1662</v>
      </c>
      <c r="C51" s="39">
        <v>45349</v>
      </c>
      <c r="D51" s="39">
        <f ca="1">TODAY()</f>
        <v>45743</v>
      </c>
      <c r="E51" s="40">
        <f ca="1">D51-C51</f>
        <v>394</v>
      </c>
      <c r="F51" s="41">
        <f ca="1">(D51-C51)/365.25</f>
        <v>1.0787132101300478</v>
      </c>
      <c r="G51" s="42" t="s">
        <v>152</v>
      </c>
      <c r="H51" s="43">
        <f ca="1">RANK(F51,F$2:F$52,0)</f>
        <v>25</v>
      </c>
      <c r="I51" s="60"/>
      <c r="J51" s="34"/>
      <c r="K51" s="35"/>
      <c r="L51" s="45">
        <f>SUM(M51:O51)</f>
        <v>27</v>
      </c>
      <c r="M51" s="46">
        <f>M60</f>
        <v>14</v>
      </c>
      <c r="N51" s="46">
        <f>N60</f>
        <v>7</v>
      </c>
      <c r="O51" s="46">
        <f>O60</f>
        <v>6</v>
      </c>
      <c r="P51" s="46">
        <f>P60</f>
        <v>41</v>
      </c>
      <c r="Q51" s="46">
        <f>Q60</f>
        <v>25</v>
      </c>
      <c r="R51" s="46">
        <f>M51*3+N51</f>
        <v>49</v>
      </c>
      <c r="S51" s="47">
        <f>R51/(L51*3)</f>
        <v>0.60493827160493829</v>
      </c>
      <c r="T51" s="47">
        <f>M51/L51</f>
        <v>0.51851851851851849</v>
      </c>
      <c r="U51" s="43">
        <f>RANK(S51,S$2:S$52,0)</f>
        <v>1</v>
      </c>
      <c r="V51" s="43">
        <f>RANK(T51,T$2:T$52,0)</f>
        <v>1</v>
      </c>
      <c r="W51" s="76"/>
    </row>
    <row r="52" spans="1:23" s="45" customFormat="1" x14ac:dyDescent="0.2">
      <c r="A52" s="34"/>
      <c r="B52" s="34"/>
      <c r="C52" s="63"/>
      <c r="D52" s="63"/>
      <c r="E52" s="64"/>
      <c r="F52" s="65"/>
      <c r="H52" s="61"/>
      <c r="I52" s="60"/>
      <c r="J52" s="34"/>
      <c r="K52" s="35"/>
      <c r="L52" s="46"/>
      <c r="M52" s="46"/>
      <c r="N52" s="46"/>
      <c r="O52" s="46"/>
      <c r="P52" s="46"/>
      <c r="Q52" s="46"/>
      <c r="R52" s="46"/>
      <c r="S52" s="47"/>
      <c r="T52" s="47"/>
      <c r="W52" s="53"/>
    </row>
    <row r="53" spans="1:23" s="45" customFormat="1" x14ac:dyDescent="0.2">
      <c r="A53" s="38"/>
      <c r="B53" s="66" t="s">
        <v>203</v>
      </c>
      <c r="C53" s="44"/>
      <c r="D53" s="44"/>
      <c r="E53" s="67">
        <f ca="1">F53*365.25</f>
        <v>896.81578947368416</v>
      </c>
      <c r="F53" s="68">
        <f ca="1">AVERAGE(F2:F52)</f>
        <v>2.455347815123023</v>
      </c>
      <c r="G53" s="61" t="s">
        <v>152</v>
      </c>
      <c r="H53" s="42"/>
      <c r="I53" s="60"/>
      <c r="J53" s="66" t="s">
        <v>1665</v>
      </c>
      <c r="K53" s="35"/>
      <c r="L53" s="61">
        <f>RANK(L51,L2:L52)</f>
        <v>34</v>
      </c>
      <c r="M53" s="61">
        <f>RANK(M51,M2:M51)</f>
        <v>25</v>
      </c>
      <c r="N53" s="61">
        <f>RANK(N51,N2:N51)</f>
        <v>34</v>
      </c>
      <c r="O53" s="61"/>
      <c r="P53" s="61"/>
      <c r="Q53" s="61"/>
      <c r="R53" s="61">
        <f>RANK(R51,R2:R51)</f>
        <v>29</v>
      </c>
      <c r="S53" s="69"/>
      <c r="T53" s="69"/>
      <c r="W53" s="53"/>
    </row>
    <row r="54" spans="1:23" x14ac:dyDescent="0.2">
      <c r="B54" s="45"/>
      <c r="C54" s="70"/>
      <c r="D54" s="70"/>
      <c r="E54" s="40"/>
      <c r="F54" s="41"/>
      <c r="I54" s="59"/>
      <c r="J54" s="38"/>
      <c r="K54" s="62"/>
      <c r="L54" s="71"/>
      <c r="M54" s="72"/>
      <c r="S54" s="73"/>
      <c r="T54" s="73"/>
    </row>
    <row r="55" spans="1:23" x14ac:dyDescent="0.2">
      <c r="B55" s="49" t="s">
        <v>1117</v>
      </c>
      <c r="C55" s="70"/>
      <c r="D55" s="70"/>
      <c r="E55" s="40"/>
      <c r="F55" s="41"/>
      <c r="I55" s="166">
        <f>E$7-E47</f>
        <v>19</v>
      </c>
      <c r="J55" s="38"/>
      <c r="K55" s="62"/>
      <c r="L55" s="71"/>
      <c r="M55" s="72"/>
      <c r="S55" s="73"/>
      <c r="T55" s="73"/>
    </row>
    <row r="56" spans="1:23" x14ac:dyDescent="0.2">
      <c r="B56" s="49"/>
      <c r="C56" s="70"/>
      <c r="D56" s="70"/>
      <c r="E56" s="40"/>
      <c r="F56" s="41"/>
      <c r="I56" s="166"/>
      <c r="J56" s="45" t="s">
        <v>1663</v>
      </c>
      <c r="K56" s="48"/>
      <c r="L56" s="58" t="s">
        <v>356</v>
      </c>
      <c r="M56" s="58" t="s">
        <v>281</v>
      </c>
      <c r="N56" s="58" t="s">
        <v>254</v>
      </c>
      <c r="O56" s="58" t="s">
        <v>268</v>
      </c>
      <c r="P56" s="58" t="s">
        <v>260</v>
      </c>
      <c r="Q56" s="58" t="s">
        <v>261</v>
      </c>
      <c r="R56" s="58" t="s">
        <v>357</v>
      </c>
    </row>
    <row r="57" spans="1:23" x14ac:dyDescent="0.2">
      <c r="B57" s="49"/>
      <c r="C57" s="70"/>
      <c r="D57" s="70"/>
      <c r="E57" s="40"/>
      <c r="F57" s="41"/>
      <c r="I57" s="166"/>
      <c r="J57" s="54" t="s">
        <v>1629</v>
      </c>
      <c r="K57" s="55"/>
      <c r="L57" s="54">
        <f>SUM(M57:O57)</f>
        <v>11</v>
      </c>
      <c r="M57" s="54">
        <v>4</v>
      </c>
      <c r="N57" s="54">
        <v>2</v>
      </c>
      <c r="O57" s="54">
        <v>5</v>
      </c>
      <c r="P57" s="54">
        <v>12</v>
      </c>
      <c r="Q57" s="54">
        <v>16</v>
      </c>
      <c r="R57" s="54">
        <f>M57*3+N57</f>
        <v>14</v>
      </c>
      <c r="S57" s="47">
        <f>R57/(L57*3)</f>
        <v>0.42424242424242425</v>
      </c>
      <c r="T57" s="47">
        <f>M57/L57</f>
        <v>0.36363636363636365</v>
      </c>
    </row>
    <row r="58" spans="1:23" x14ac:dyDescent="0.2">
      <c r="B58" s="49"/>
      <c r="C58" s="70"/>
      <c r="D58" s="70"/>
      <c r="E58" s="40"/>
      <c r="F58" s="41"/>
      <c r="I58" s="166"/>
      <c r="J58" s="54" t="s">
        <v>1668</v>
      </c>
      <c r="K58" s="55"/>
      <c r="L58" s="54">
        <f>SUM(M58:O58)</f>
        <v>15</v>
      </c>
      <c r="M58" s="54">
        <v>9</v>
      </c>
      <c r="N58" s="54">
        <v>5</v>
      </c>
      <c r="O58" s="54">
        <v>1</v>
      </c>
      <c r="P58" s="54">
        <v>26</v>
      </c>
      <c r="Q58" s="54">
        <v>8</v>
      </c>
      <c r="R58" s="54">
        <f>M58*3+N58</f>
        <v>32</v>
      </c>
      <c r="S58" s="47">
        <f>R58/(L58*3)</f>
        <v>0.71111111111111114</v>
      </c>
      <c r="T58" s="47">
        <f>M58/L58</f>
        <v>0.6</v>
      </c>
    </row>
    <row r="59" spans="1:23" x14ac:dyDescent="0.2">
      <c r="B59" s="49"/>
      <c r="C59" s="70"/>
      <c r="D59" s="70"/>
      <c r="E59" s="40"/>
      <c r="F59" s="41"/>
      <c r="I59" s="166"/>
      <c r="J59" s="56" t="s">
        <v>1669</v>
      </c>
      <c r="K59" s="55"/>
      <c r="L59" s="56">
        <f>SUM(M59:O59)</f>
        <v>1</v>
      </c>
      <c r="M59" s="56">
        <v>1</v>
      </c>
      <c r="N59" s="56">
        <v>0</v>
      </c>
      <c r="O59" s="56">
        <v>0</v>
      </c>
      <c r="P59" s="56">
        <v>3</v>
      </c>
      <c r="Q59" s="56">
        <v>1</v>
      </c>
      <c r="R59" s="167">
        <f>M59*3+N59</f>
        <v>3</v>
      </c>
      <c r="S59" s="47">
        <f>R59/(L59*3)</f>
        <v>1</v>
      </c>
      <c r="T59" s="47">
        <f>M59/L59</f>
        <v>1</v>
      </c>
    </row>
    <row r="60" spans="1:23" x14ac:dyDescent="0.2">
      <c r="B60" s="49"/>
      <c r="C60" s="70"/>
      <c r="D60" s="70"/>
      <c r="E60" s="40"/>
      <c r="F60" s="41"/>
      <c r="I60" s="166"/>
      <c r="J60" s="34" t="s">
        <v>23</v>
      </c>
      <c r="K60" s="35"/>
      <c r="L60" s="152">
        <f>SUM(M60:O60)</f>
        <v>27</v>
      </c>
      <c r="M60" s="152">
        <f>SUM(M57:M59)</f>
        <v>14</v>
      </c>
      <c r="N60" s="152">
        <f>SUM(N57:N59)</f>
        <v>7</v>
      </c>
      <c r="O60" s="152">
        <f>SUM(O57:O59)</f>
        <v>6</v>
      </c>
      <c r="P60" s="152">
        <f>SUM(P57:P59)</f>
        <v>41</v>
      </c>
      <c r="Q60" s="152">
        <f>SUM(Q57:Q59)</f>
        <v>25</v>
      </c>
      <c r="R60" s="34">
        <f t="shared" ref="R60" si="23">SUM(R57:R59)</f>
        <v>49</v>
      </c>
      <c r="S60" s="75">
        <f>R60/(L60*3)</f>
        <v>0.60493827160493829</v>
      </c>
      <c r="T60" s="75">
        <f>M60/L60</f>
        <v>0.51851851851851849</v>
      </c>
    </row>
    <row r="61" spans="1:23" x14ac:dyDescent="0.2">
      <c r="B61" s="49"/>
      <c r="C61" s="70"/>
      <c r="D61" s="70"/>
      <c r="E61" s="40"/>
      <c r="F61" s="41"/>
      <c r="I61" s="166"/>
      <c r="J61" s="38"/>
      <c r="K61" s="62"/>
      <c r="L61" s="71"/>
      <c r="M61" s="72"/>
      <c r="S61" s="73"/>
      <c r="T61" s="73"/>
    </row>
    <row r="62" spans="1:23" x14ac:dyDescent="0.2">
      <c r="B62" s="49"/>
      <c r="C62" s="70"/>
      <c r="D62" s="70"/>
      <c r="E62" s="40"/>
      <c r="F62" s="41"/>
      <c r="I62" s="59"/>
      <c r="J62" s="38"/>
      <c r="K62" s="62"/>
      <c r="L62" s="71"/>
      <c r="M62" s="72"/>
      <c r="S62" s="73"/>
      <c r="T62" s="73"/>
    </row>
    <row r="63" spans="1:23" x14ac:dyDescent="0.2">
      <c r="C63" s="70"/>
      <c r="D63" s="70"/>
      <c r="E63" s="40"/>
      <c r="F63" s="41"/>
      <c r="I63" s="59"/>
      <c r="J63" s="45" t="s">
        <v>1635</v>
      </c>
      <c r="K63" s="48"/>
      <c r="L63" s="58" t="s">
        <v>356</v>
      </c>
      <c r="M63" s="58" t="s">
        <v>281</v>
      </c>
      <c r="N63" s="58" t="s">
        <v>254</v>
      </c>
      <c r="O63" s="58" t="s">
        <v>268</v>
      </c>
      <c r="P63" s="58" t="s">
        <v>260</v>
      </c>
      <c r="Q63" s="58" t="s">
        <v>261</v>
      </c>
      <c r="R63" s="58" t="s">
        <v>357</v>
      </c>
    </row>
    <row r="64" spans="1:23" x14ac:dyDescent="0.2">
      <c r="C64" s="70"/>
      <c r="D64" s="70"/>
      <c r="E64" s="40"/>
      <c r="F64" s="41"/>
      <c r="I64" s="59"/>
      <c r="J64" s="54" t="s">
        <v>1629</v>
      </c>
      <c r="K64" s="55"/>
      <c r="L64" s="54">
        <f>SUM(M64:O64)</f>
        <v>28</v>
      </c>
      <c r="M64" s="54">
        <v>8</v>
      </c>
      <c r="N64" s="54">
        <v>12</v>
      </c>
      <c r="O64" s="54">
        <v>8</v>
      </c>
      <c r="P64" s="54">
        <v>35</v>
      </c>
      <c r="Q64" s="54">
        <v>38</v>
      </c>
      <c r="R64" s="54">
        <f>M64*3+N64</f>
        <v>36</v>
      </c>
      <c r="S64" s="47">
        <f>R64/(L64*3)</f>
        <v>0.42857142857142855</v>
      </c>
      <c r="T64" s="47">
        <f>M64/L64</f>
        <v>0.2857142857142857</v>
      </c>
    </row>
    <row r="65" spans="3:20" x14ac:dyDescent="0.2">
      <c r="E65" s="74"/>
      <c r="I65" s="59"/>
      <c r="J65" s="56" t="s">
        <v>1630</v>
      </c>
      <c r="K65" s="55"/>
      <c r="L65" s="56">
        <f>SUM(M65:O65)</f>
        <v>5</v>
      </c>
      <c r="M65" s="56">
        <v>2</v>
      </c>
      <c r="N65" s="56">
        <v>2</v>
      </c>
      <c r="O65" s="56">
        <v>1</v>
      </c>
      <c r="P65" s="56">
        <v>3</v>
      </c>
      <c r="Q65" s="56">
        <v>2</v>
      </c>
      <c r="R65" s="167">
        <f>M65*3+N65</f>
        <v>8</v>
      </c>
      <c r="S65" s="47">
        <f>R65/(L65*3)</f>
        <v>0.53333333333333333</v>
      </c>
      <c r="T65" s="47">
        <f>M65/L65</f>
        <v>0.4</v>
      </c>
    </row>
    <row r="66" spans="3:20" x14ac:dyDescent="0.2">
      <c r="C66" s="70"/>
      <c r="D66" s="70"/>
      <c r="E66" s="40"/>
      <c r="F66" s="41"/>
      <c r="I66" s="59"/>
      <c r="J66" s="56" t="s">
        <v>1631</v>
      </c>
      <c r="K66" s="57"/>
      <c r="L66" s="56">
        <f>SUM(M66:O66)</f>
        <v>1</v>
      </c>
      <c r="M66" s="56">
        <v>0</v>
      </c>
      <c r="N66" s="56">
        <v>0</v>
      </c>
      <c r="O66" s="56">
        <v>1</v>
      </c>
      <c r="P66" s="56">
        <v>2</v>
      </c>
      <c r="Q66" s="56">
        <v>3</v>
      </c>
      <c r="R66" s="167">
        <f>M66*3+N66</f>
        <v>0</v>
      </c>
      <c r="S66" s="47">
        <f>R66/(L66*3)</f>
        <v>0</v>
      </c>
      <c r="T66" s="47">
        <f>M66/L66</f>
        <v>0</v>
      </c>
    </row>
    <row r="67" spans="3:20" x14ac:dyDescent="0.2">
      <c r="C67" s="70"/>
      <c r="D67" s="70"/>
      <c r="E67" s="40"/>
      <c r="F67" s="41"/>
      <c r="I67" s="59"/>
      <c r="J67" s="34" t="s">
        <v>23</v>
      </c>
      <c r="K67" s="35"/>
      <c r="L67" s="152">
        <f>SUM(M67:O67)</f>
        <v>34</v>
      </c>
      <c r="M67" s="34">
        <f t="shared" ref="M67:R67" si="24">SUM(M64:M66)</f>
        <v>10</v>
      </c>
      <c r="N67" s="34">
        <f t="shared" si="24"/>
        <v>14</v>
      </c>
      <c r="O67" s="34">
        <f t="shared" si="24"/>
        <v>10</v>
      </c>
      <c r="P67" s="34">
        <f t="shared" si="24"/>
        <v>40</v>
      </c>
      <c r="Q67" s="34">
        <f t="shared" si="24"/>
        <v>43</v>
      </c>
      <c r="R67" s="34">
        <f t="shared" si="24"/>
        <v>44</v>
      </c>
      <c r="S67" s="75">
        <f>R67/(L67*3)</f>
        <v>0.43137254901960786</v>
      </c>
      <c r="T67" s="75">
        <f>M67/L67</f>
        <v>0.29411764705882354</v>
      </c>
    </row>
    <row r="68" spans="3:20" x14ac:dyDescent="0.2">
      <c r="C68" s="70"/>
      <c r="D68" s="70"/>
      <c r="E68" s="40"/>
      <c r="F68" s="41"/>
      <c r="I68" s="59"/>
      <c r="J68" s="38"/>
      <c r="K68" s="62"/>
      <c r="L68" s="71"/>
      <c r="M68" s="72"/>
      <c r="S68" s="73"/>
      <c r="T68" s="73"/>
    </row>
    <row r="69" spans="3:20" x14ac:dyDescent="0.2">
      <c r="C69" s="70"/>
      <c r="D69" s="70"/>
      <c r="E69" s="40"/>
      <c r="F69" s="41"/>
      <c r="I69" s="59"/>
      <c r="J69" s="45" t="s">
        <v>1628</v>
      </c>
      <c r="K69" s="48"/>
      <c r="L69" s="58" t="s">
        <v>356</v>
      </c>
      <c r="M69" s="58" t="s">
        <v>281</v>
      </c>
      <c r="N69" s="58" t="s">
        <v>254</v>
      </c>
      <c r="O69" s="58" t="s">
        <v>268</v>
      </c>
      <c r="P69" s="58" t="s">
        <v>260</v>
      </c>
      <c r="Q69" s="58" t="s">
        <v>261</v>
      </c>
      <c r="R69" s="58" t="s">
        <v>357</v>
      </c>
    </row>
    <row r="70" spans="3:20" x14ac:dyDescent="0.2">
      <c r="C70" s="70"/>
      <c r="D70" s="70"/>
      <c r="E70" s="40"/>
      <c r="F70" s="41"/>
      <c r="I70" s="59"/>
      <c r="J70" s="54" t="s">
        <v>1430</v>
      </c>
      <c r="K70" s="55"/>
      <c r="L70" s="54">
        <f>SUM(M70:O70)</f>
        <v>16</v>
      </c>
      <c r="M70" s="54">
        <v>5</v>
      </c>
      <c r="N70" s="54">
        <v>4</v>
      </c>
      <c r="O70" s="54">
        <v>7</v>
      </c>
      <c r="P70" s="54">
        <v>20</v>
      </c>
      <c r="Q70" s="54">
        <v>24</v>
      </c>
      <c r="R70" s="54">
        <f>M70*3+N70</f>
        <v>19</v>
      </c>
      <c r="S70" s="47">
        <f>R70/(L70*3)</f>
        <v>0.39583333333333331</v>
      </c>
      <c r="T70" s="47">
        <f>M70/L70</f>
        <v>0.3125</v>
      </c>
    </row>
    <row r="71" spans="3:20" x14ac:dyDescent="0.2">
      <c r="C71" s="70"/>
      <c r="D71" s="70"/>
      <c r="E71" s="40"/>
      <c r="F71" s="41"/>
      <c r="I71" s="59"/>
      <c r="J71" s="54" t="s">
        <v>1629</v>
      </c>
      <c r="K71" s="55"/>
      <c r="L71" s="54">
        <f>SUM(M71:O71)</f>
        <v>6</v>
      </c>
      <c r="M71" s="54">
        <v>0</v>
      </c>
      <c r="N71" s="54">
        <v>3</v>
      </c>
      <c r="O71" s="54">
        <v>3</v>
      </c>
      <c r="P71" s="54">
        <v>7</v>
      </c>
      <c r="Q71" s="54">
        <v>11</v>
      </c>
      <c r="R71" s="54">
        <f>M71*3+N71</f>
        <v>3</v>
      </c>
      <c r="S71" s="47">
        <f>R71/(L71*3)</f>
        <v>0.16666666666666666</v>
      </c>
      <c r="T71" s="47">
        <f>M71/L71</f>
        <v>0</v>
      </c>
    </row>
    <row r="72" spans="3:20" x14ac:dyDescent="0.2">
      <c r="E72" s="74"/>
      <c r="I72" s="59"/>
      <c r="J72" s="56" t="s">
        <v>1446</v>
      </c>
      <c r="K72" s="57"/>
      <c r="L72" s="56">
        <f>SUM(M72:O72)</f>
        <v>2</v>
      </c>
      <c r="M72" s="56">
        <v>1</v>
      </c>
      <c r="N72" s="56">
        <v>0</v>
      </c>
      <c r="O72" s="56">
        <v>1</v>
      </c>
      <c r="P72" s="56">
        <v>3</v>
      </c>
      <c r="Q72" s="56">
        <v>2</v>
      </c>
      <c r="R72" s="167">
        <f>M72*3+N72</f>
        <v>3</v>
      </c>
      <c r="S72" s="47">
        <f>R72/(L72*3)</f>
        <v>0.5</v>
      </c>
      <c r="T72" s="47">
        <f>M72/L72</f>
        <v>0.5</v>
      </c>
    </row>
    <row r="73" spans="3:20" x14ac:dyDescent="0.2">
      <c r="E73" s="74"/>
      <c r="I73" s="59"/>
      <c r="J73" s="34" t="s">
        <v>23</v>
      </c>
      <c r="K73" s="35"/>
      <c r="L73" s="152">
        <f>SUM(M73:O73)</f>
        <v>24</v>
      </c>
      <c r="M73" s="34">
        <f t="shared" ref="M73:R73" si="25">SUM(M70:M72)</f>
        <v>6</v>
      </c>
      <c r="N73" s="34">
        <f t="shared" si="25"/>
        <v>7</v>
      </c>
      <c r="O73" s="34">
        <f t="shared" si="25"/>
        <v>11</v>
      </c>
      <c r="P73" s="34">
        <f t="shared" si="25"/>
        <v>30</v>
      </c>
      <c r="Q73" s="34">
        <f t="shared" si="25"/>
        <v>37</v>
      </c>
      <c r="R73" s="34">
        <f t="shared" si="25"/>
        <v>25</v>
      </c>
      <c r="S73" s="75">
        <f>R73/(L73*3)</f>
        <v>0.34722222222222221</v>
      </c>
      <c r="T73" s="75">
        <f>M73/L73</f>
        <v>0.25</v>
      </c>
    </row>
    <row r="74" spans="3:20" x14ac:dyDescent="0.2">
      <c r="C74" s="70"/>
      <c r="D74" s="70"/>
      <c r="E74" s="40"/>
      <c r="F74" s="41"/>
      <c r="I74" s="59"/>
      <c r="J74" s="38"/>
      <c r="K74" s="62"/>
      <c r="L74" s="71"/>
      <c r="M74" s="72"/>
      <c r="S74" s="73"/>
      <c r="T74" s="73"/>
    </row>
    <row r="75" spans="3:20" x14ac:dyDescent="0.2">
      <c r="C75" s="70"/>
      <c r="D75" s="70"/>
      <c r="E75" s="40"/>
      <c r="F75" s="41"/>
      <c r="J75" s="45" t="s">
        <v>1445</v>
      </c>
      <c r="K75" s="48"/>
      <c r="L75" s="58" t="s">
        <v>356</v>
      </c>
      <c r="M75" s="58" t="s">
        <v>281</v>
      </c>
      <c r="N75" s="58" t="s">
        <v>254</v>
      </c>
      <c r="O75" s="58" t="s">
        <v>268</v>
      </c>
      <c r="P75" s="58" t="s">
        <v>260</v>
      </c>
      <c r="Q75" s="58" t="s">
        <v>261</v>
      </c>
      <c r="R75" s="58" t="s">
        <v>357</v>
      </c>
    </row>
    <row r="76" spans="3:20" x14ac:dyDescent="0.2">
      <c r="J76" s="54" t="s">
        <v>1430</v>
      </c>
      <c r="K76" s="55"/>
      <c r="L76" s="54">
        <f>SUM(M76:O76)</f>
        <v>8</v>
      </c>
      <c r="M76" s="54">
        <v>2</v>
      </c>
      <c r="N76" s="54">
        <v>1</v>
      </c>
      <c r="O76" s="54">
        <v>5</v>
      </c>
      <c r="P76" s="54">
        <v>11</v>
      </c>
      <c r="Q76" s="54">
        <v>15</v>
      </c>
      <c r="R76" s="54">
        <f>M76*3+N76</f>
        <v>7</v>
      </c>
      <c r="S76" s="47">
        <f>R76/(L76*3)</f>
        <v>0.29166666666666669</v>
      </c>
      <c r="T76" s="47">
        <f>M76/L76</f>
        <v>0.25</v>
      </c>
    </row>
    <row r="77" spans="3:20" x14ac:dyDescent="0.2">
      <c r="J77" s="56" t="s">
        <v>1446</v>
      </c>
      <c r="K77" s="57"/>
      <c r="L77" s="56">
        <f>SUM(M77:O77)</f>
        <v>2</v>
      </c>
      <c r="M77" s="56">
        <v>1</v>
      </c>
      <c r="N77" s="56">
        <v>1</v>
      </c>
      <c r="O77" s="56">
        <v>0</v>
      </c>
      <c r="P77" s="56">
        <v>6</v>
      </c>
      <c r="Q77" s="56">
        <v>1</v>
      </c>
      <c r="R77" s="167">
        <f>M77*3+N77</f>
        <v>4</v>
      </c>
      <c r="S77" s="47">
        <f>R77/(L77*3)</f>
        <v>0.66666666666666663</v>
      </c>
      <c r="T77" s="47">
        <f>M77/L77</f>
        <v>0.5</v>
      </c>
    </row>
    <row r="78" spans="3:20" x14ac:dyDescent="0.2">
      <c r="J78" s="34" t="s">
        <v>23</v>
      </c>
      <c r="K78" s="35"/>
      <c r="L78" s="152">
        <f>SUM(M78:O78)</f>
        <v>10</v>
      </c>
      <c r="M78" s="34">
        <f t="shared" ref="M78:R78" si="26">SUM(M76:M77)</f>
        <v>3</v>
      </c>
      <c r="N78" s="34">
        <f t="shared" si="26"/>
        <v>2</v>
      </c>
      <c r="O78" s="34">
        <f t="shared" si="26"/>
        <v>5</v>
      </c>
      <c r="P78" s="34">
        <f t="shared" si="26"/>
        <v>17</v>
      </c>
      <c r="Q78" s="34">
        <f t="shared" si="26"/>
        <v>16</v>
      </c>
      <c r="R78" s="34">
        <f t="shared" si="26"/>
        <v>11</v>
      </c>
      <c r="S78" s="75">
        <f>R78/(L78*3)</f>
        <v>0.36666666666666664</v>
      </c>
      <c r="T78" s="75">
        <f>M78/L78</f>
        <v>0.3</v>
      </c>
    </row>
    <row r="79" spans="3:20" x14ac:dyDescent="0.2">
      <c r="J79" s="38"/>
      <c r="K79" s="62"/>
      <c r="L79" s="72"/>
      <c r="M79" s="72"/>
      <c r="S79" s="73"/>
      <c r="T79" s="73"/>
    </row>
    <row r="80" spans="3:20" x14ac:dyDescent="0.2">
      <c r="J80" s="45" t="s">
        <v>1185</v>
      </c>
      <c r="K80" s="48"/>
      <c r="L80" s="58" t="s">
        <v>356</v>
      </c>
      <c r="M80" s="58" t="s">
        <v>281</v>
      </c>
      <c r="N80" s="58" t="s">
        <v>254</v>
      </c>
      <c r="O80" s="58" t="s">
        <v>268</v>
      </c>
      <c r="P80" s="58" t="s">
        <v>260</v>
      </c>
      <c r="Q80" s="58" t="s">
        <v>261</v>
      </c>
      <c r="R80" s="58" t="s">
        <v>357</v>
      </c>
    </row>
    <row r="81" spans="10:22" x14ac:dyDescent="0.2">
      <c r="J81" s="54" t="s">
        <v>1183</v>
      </c>
      <c r="K81" s="55"/>
      <c r="L81" s="54">
        <f>SUM(M81:O81)</f>
        <v>29</v>
      </c>
      <c r="M81" s="54">
        <v>13</v>
      </c>
      <c r="N81" s="54">
        <v>8</v>
      </c>
      <c r="O81" s="54">
        <v>8</v>
      </c>
      <c r="P81" s="54">
        <v>38</v>
      </c>
      <c r="Q81" s="54">
        <v>32</v>
      </c>
      <c r="R81" s="54">
        <f>M81*3+N81</f>
        <v>47</v>
      </c>
      <c r="S81" s="47">
        <f t="shared" ref="S81:S86" si="27">R81/(L81*3)</f>
        <v>0.54022988505747127</v>
      </c>
      <c r="T81" s="47">
        <f t="shared" ref="T81:T86" si="28">M81/L81</f>
        <v>0.44827586206896552</v>
      </c>
    </row>
    <row r="82" spans="10:22" x14ac:dyDescent="0.2">
      <c r="J82" s="54" t="s">
        <v>1428</v>
      </c>
      <c r="K82" s="55"/>
      <c r="L82" s="54">
        <f>SUM(M82:O82)</f>
        <v>3</v>
      </c>
      <c r="M82" s="54">
        <v>3</v>
      </c>
      <c r="N82" s="54">
        <v>0</v>
      </c>
      <c r="O82" s="54">
        <v>0</v>
      </c>
      <c r="P82" s="54">
        <v>5</v>
      </c>
      <c r="Q82" s="54">
        <v>1</v>
      </c>
      <c r="R82" s="54">
        <f>M82*3+N82</f>
        <v>9</v>
      </c>
      <c r="S82" s="47">
        <f t="shared" si="27"/>
        <v>1</v>
      </c>
      <c r="T82" s="47">
        <f t="shared" si="28"/>
        <v>1</v>
      </c>
    </row>
    <row r="83" spans="10:22" x14ac:dyDescent="0.2">
      <c r="J83" s="54" t="s">
        <v>1430</v>
      </c>
      <c r="K83" s="55"/>
      <c r="L83" s="54">
        <f>SUM(M83:O83)</f>
        <v>19</v>
      </c>
      <c r="M83" s="54">
        <v>6</v>
      </c>
      <c r="N83" s="54">
        <v>6</v>
      </c>
      <c r="O83" s="54">
        <v>7</v>
      </c>
      <c r="P83" s="54">
        <v>22</v>
      </c>
      <c r="Q83" s="54">
        <v>20</v>
      </c>
      <c r="R83" s="54">
        <f>M83*3+N83</f>
        <v>24</v>
      </c>
      <c r="S83" s="47">
        <f t="shared" si="27"/>
        <v>0.42105263157894735</v>
      </c>
      <c r="T83" s="47">
        <f t="shared" si="28"/>
        <v>0.31578947368421051</v>
      </c>
    </row>
    <row r="84" spans="10:22" x14ac:dyDescent="0.2">
      <c r="J84" s="56" t="s">
        <v>1186</v>
      </c>
      <c r="K84" s="57"/>
      <c r="L84" s="56">
        <f>SUM(M84:O84)</f>
        <v>6</v>
      </c>
      <c r="M84" s="56">
        <v>4</v>
      </c>
      <c r="N84" s="56">
        <v>1</v>
      </c>
      <c r="O84" s="56">
        <v>1</v>
      </c>
      <c r="P84" s="56">
        <v>8</v>
      </c>
      <c r="Q84" s="56">
        <v>6</v>
      </c>
      <c r="R84" s="167">
        <f>M84*3+N84</f>
        <v>13</v>
      </c>
      <c r="S84" s="47">
        <f t="shared" si="27"/>
        <v>0.72222222222222221</v>
      </c>
      <c r="T84" s="47">
        <f t="shared" si="28"/>
        <v>0.66666666666666663</v>
      </c>
    </row>
    <row r="85" spans="10:22" x14ac:dyDescent="0.2">
      <c r="J85" s="56" t="s">
        <v>1431</v>
      </c>
      <c r="K85" s="57"/>
      <c r="L85" s="56">
        <f>SUM(M85:O85)</f>
        <v>2</v>
      </c>
      <c r="M85" s="56">
        <v>1</v>
      </c>
      <c r="N85" s="56">
        <v>0</v>
      </c>
      <c r="O85" s="56">
        <v>1</v>
      </c>
      <c r="P85" s="56">
        <v>3</v>
      </c>
      <c r="Q85" s="56">
        <v>3</v>
      </c>
      <c r="R85" s="167">
        <f>M85*3+N85</f>
        <v>3</v>
      </c>
      <c r="S85" s="47">
        <f t="shared" si="27"/>
        <v>0.5</v>
      </c>
      <c r="T85" s="47">
        <f t="shared" si="28"/>
        <v>0.5</v>
      </c>
    </row>
    <row r="86" spans="10:22" x14ac:dyDescent="0.2">
      <c r="J86" s="34" t="s">
        <v>23</v>
      </c>
      <c r="K86" s="35"/>
      <c r="L86" s="34">
        <f t="shared" ref="L86:R86" si="29">SUM(L81:L85)</f>
        <v>59</v>
      </c>
      <c r="M86" s="34">
        <f t="shared" si="29"/>
        <v>27</v>
      </c>
      <c r="N86" s="34">
        <f t="shared" si="29"/>
        <v>15</v>
      </c>
      <c r="O86" s="34">
        <f t="shared" si="29"/>
        <v>17</v>
      </c>
      <c r="P86" s="34">
        <f t="shared" si="29"/>
        <v>76</v>
      </c>
      <c r="Q86" s="34">
        <f t="shared" si="29"/>
        <v>62</v>
      </c>
      <c r="R86" s="34">
        <f t="shared" si="29"/>
        <v>96</v>
      </c>
      <c r="S86" s="75">
        <f t="shared" si="27"/>
        <v>0.5423728813559322</v>
      </c>
      <c r="T86" s="75">
        <f t="shared" si="28"/>
        <v>0.4576271186440678</v>
      </c>
    </row>
    <row r="88" spans="10:22" x14ac:dyDescent="0.2">
      <c r="J88" s="45" t="s">
        <v>1151</v>
      </c>
      <c r="K88" s="48"/>
      <c r="L88" s="58" t="s">
        <v>356</v>
      </c>
      <c r="M88" s="58" t="s">
        <v>281</v>
      </c>
      <c r="N88" s="58" t="s">
        <v>254</v>
      </c>
      <c r="O88" s="58" t="s">
        <v>268</v>
      </c>
      <c r="P88" s="58" t="s">
        <v>260</v>
      </c>
      <c r="Q88" s="58" t="s">
        <v>261</v>
      </c>
      <c r="R88" s="58" t="s">
        <v>357</v>
      </c>
    </row>
    <row r="89" spans="10:22" x14ac:dyDescent="0.2">
      <c r="J89" s="54" t="s">
        <v>1152</v>
      </c>
      <c r="K89" s="55"/>
      <c r="L89" s="54">
        <f t="shared" ref="L89:L98" si="30">SUM(M89:O89)</f>
        <v>17</v>
      </c>
      <c r="M89" s="54">
        <v>8</v>
      </c>
      <c r="N89" s="54">
        <v>4</v>
      </c>
      <c r="O89" s="54">
        <v>5</v>
      </c>
      <c r="P89" s="54">
        <v>27</v>
      </c>
      <c r="Q89" s="54">
        <v>25</v>
      </c>
      <c r="R89" s="54">
        <f>M89*3+N89</f>
        <v>28</v>
      </c>
      <c r="S89" s="47">
        <v>0.5490196078431373</v>
      </c>
      <c r="T89" s="47">
        <v>0.47058823529411764</v>
      </c>
      <c r="U89" s="43"/>
      <c r="V89" s="43"/>
    </row>
    <row r="90" spans="10:22" x14ac:dyDescent="0.2">
      <c r="J90" s="54" t="s">
        <v>1153</v>
      </c>
      <c r="K90" s="55"/>
      <c r="L90" s="54">
        <f t="shared" si="30"/>
        <v>34</v>
      </c>
      <c r="M90" s="54">
        <v>19</v>
      </c>
      <c r="N90" s="54">
        <v>9</v>
      </c>
      <c r="O90" s="54">
        <v>6</v>
      </c>
      <c r="P90" s="54">
        <v>52</v>
      </c>
      <c r="Q90" s="54">
        <v>28</v>
      </c>
      <c r="R90" s="54">
        <f>M90*3+N90</f>
        <v>66</v>
      </c>
      <c r="S90" s="47">
        <f t="shared" ref="S90:S99" si="31">R90/(L90*3)</f>
        <v>0.6470588235294118</v>
      </c>
      <c r="T90" s="47">
        <f t="shared" ref="T90:T99" si="32">M90/L90</f>
        <v>0.55882352941176472</v>
      </c>
    </row>
    <row r="91" spans="10:22" x14ac:dyDescent="0.2">
      <c r="J91" s="54" t="s">
        <v>1171</v>
      </c>
      <c r="K91" s="55"/>
      <c r="L91" s="54">
        <f t="shared" si="30"/>
        <v>1</v>
      </c>
      <c r="M91" s="54">
        <v>0</v>
      </c>
      <c r="N91" s="54">
        <v>0</v>
      </c>
      <c r="O91" s="54">
        <v>1</v>
      </c>
      <c r="P91" s="54">
        <v>0</v>
      </c>
      <c r="Q91" s="54">
        <v>2</v>
      </c>
      <c r="R91" s="54">
        <f>M91*3+N91</f>
        <v>0</v>
      </c>
      <c r="S91" s="47">
        <f t="shared" si="31"/>
        <v>0</v>
      </c>
      <c r="T91" s="47">
        <f t="shared" si="32"/>
        <v>0</v>
      </c>
    </row>
    <row r="92" spans="10:22" x14ac:dyDescent="0.2">
      <c r="J92" s="54" t="s">
        <v>1168</v>
      </c>
      <c r="K92" s="55"/>
      <c r="L92" s="54">
        <f t="shared" si="30"/>
        <v>13</v>
      </c>
      <c r="M92" s="54">
        <v>6</v>
      </c>
      <c r="N92" s="54">
        <v>4</v>
      </c>
      <c r="O92" s="54">
        <v>3</v>
      </c>
      <c r="P92" s="54">
        <v>22</v>
      </c>
      <c r="Q92" s="54">
        <v>17</v>
      </c>
      <c r="R92" s="54">
        <f>M92*3+N92</f>
        <v>22</v>
      </c>
      <c r="S92" s="47">
        <f t="shared" si="31"/>
        <v>0.5641025641025641</v>
      </c>
      <c r="T92" s="47">
        <f t="shared" si="32"/>
        <v>0.46153846153846156</v>
      </c>
    </row>
    <row r="93" spans="10:22" x14ac:dyDescent="0.2">
      <c r="J93" s="54" t="s">
        <v>1183</v>
      </c>
      <c r="K93" s="55"/>
      <c r="L93" s="54">
        <f>SUM(M93:O93)</f>
        <v>13</v>
      </c>
      <c r="M93" s="54">
        <v>6</v>
      </c>
      <c r="N93" s="54">
        <v>1</v>
      </c>
      <c r="O93" s="54">
        <v>6</v>
      </c>
      <c r="P93" s="54">
        <v>20</v>
      </c>
      <c r="Q93" s="54">
        <v>18</v>
      </c>
      <c r="R93" s="54">
        <f t="shared" ref="R93:R98" si="33">M93*3+N93</f>
        <v>19</v>
      </c>
      <c r="S93" s="47">
        <f t="shared" si="31"/>
        <v>0.48717948717948717</v>
      </c>
      <c r="T93" s="47">
        <f t="shared" si="32"/>
        <v>0.46153846153846156</v>
      </c>
    </row>
    <row r="94" spans="10:22" x14ac:dyDescent="0.2">
      <c r="J94" s="56" t="s">
        <v>1154</v>
      </c>
      <c r="K94" s="57"/>
      <c r="L94" s="56">
        <f t="shared" si="30"/>
        <v>4</v>
      </c>
      <c r="M94" s="56">
        <v>3</v>
      </c>
      <c r="N94" s="56">
        <v>0</v>
      </c>
      <c r="O94" s="56">
        <v>1</v>
      </c>
      <c r="P94" s="56">
        <v>6</v>
      </c>
      <c r="Q94" s="56">
        <v>2</v>
      </c>
      <c r="R94" s="167">
        <f t="shared" si="33"/>
        <v>9</v>
      </c>
      <c r="S94" s="47">
        <f t="shared" si="31"/>
        <v>0.75</v>
      </c>
      <c r="T94" s="47">
        <f t="shared" si="32"/>
        <v>0.75</v>
      </c>
    </row>
    <row r="95" spans="10:22" x14ac:dyDescent="0.2">
      <c r="J95" s="56" t="s">
        <v>1169</v>
      </c>
      <c r="K95" s="57"/>
      <c r="L95" s="56">
        <f t="shared" si="30"/>
        <v>2</v>
      </c>
      <c r="M95" s="56">
        <v>1</v>
      </c>
      <c r="N95" s="56">
        <v>0</v>
      </c>
      <c r="O95" s="56">
        <v>1</v>
      </c>
      <c r="P95" s="56">
        <v>1</v>
      </c>
      <c r="Q95" s="56">
        <v>1</v>
      </c>
      <c r="R95" s="167">
        <f t="shared" si="33"/>
        <v>3</v>
      </c>
      <c r="S95" s="47">
        <f t="shared" si="31"/>
        <v>0.5</v>
      </c>
      <c r="T95" s="47">
        <f t="shared" si="32"/>
        <v>0.5</v>
      </c>
    </row>
    <row r="96" spans="10:22" x14ac:dyDescent="0.2">
      <c r="J96" s="56" t="s">
        <v>1184</v>
      </c>
      <c r="K96" s="57"/>
      <c r="L96" s="56">
        <f>SUM(M96:O96)</f>
        <v>5</v>
      </c>
      <c r="M96" s="56">
        <v>3</v>
      </c>
      <c r="N96" s="56">
        <v>1</v>
      </c>
      <c r="O96" s="56">
        <v>1</v>
      </c>
      <c r="P96" s="56">
        <v>9</v>
      </c>
      <c r="Q96" s="56">
        <v>3</v>
      </c>
      <c r="R96" s="167">
        <f t="shared" si="33"/>
        <v>10</v>
      </c>
      <c r="S96" s="47">
        <f t="shared" si="31"/>
        <v>0.66666666666666663</v>
      </c>
      <c r="T96" s="47">
        <f t="shared" si="32"/>
        <v>0.6</v>
      </c>
    </row>
    <row r="97" spans="10:20" x14ac:dyDescent="0.2">
      <c r="J97" s="56" t="s">
        <v>1163</v>
      </c>
      <c r="K97" s="57"/>
      <c r="L97" s="56">
        <f t="shared" si="30"/>
        <v>1</v>
      </c>
      <c r="M97" s="56">
        <v>0</v>
      </c>
      <c r="N97" s="56">
        <v>0</v>
      </c>
      <c r="O97" s="56">
        <v>1</v>
      </c>
      <c r="P97" s="56">
        <v>0</v>
      </c>
      <c r="Q97" s="56">
        <v>1</v>
      </c>
      <c r="R97" s="167">
        <f t="shared" si="33"/>
        <v>0</v>
      </c>
      <c r="S97" s="47">
        <f t="shared" si="31"/>
        <v>0</v>
      </c>
      <c r="T97" s="47">
        <f t="shared" si="32"/>
        <v>0</v>
      </c>
    </row>
    <row r="98" spans="10:20" x14ac:dyDescent="0.2">
      <c r="J98" s="56" t="s">
        <v>1170</v>
      </c>
      <c r="K98" s="57"/>
      <c r="L98" s="56">
        <f t="shared" si="30"/>
        <v>1</v>
      </c>
      <c r="M98" s="56">
        <v>0</v>
      </c>
      <c r="N98" s="56">
        <v>1</v>
      </c>
      <c r="O98" s="56">
        <v>0</v>
      </c>
      <c r="P98" s="56">
        <v>3</v>
      </c>
      <c r="Q98" s="56">
        <v>3</v>
      </c>
      <c r="R98" s="167">
        <f t="shared" si="33"/>
        <v>1</v>
      </c>
      <c r="S98" s="47">
        <f t="shared" si="31"/>
        <v>0.33333333333333331</v>
      </c>
      <c r="T98" s="47">
        <f t="shared" si="32"/>
        <v>0</v>
      </c>
    </row>
    <row r="99" spans="10:20" x14ac:dyDescent="0.2">
      <c r="J99" s="34" t="s">
        <v>23</v>
      </c>
      <c r="K99" s="35"/>
      <c r="L99" s="34">
        <f t="shared" ref="L99:R99" si="34">SUM(L89:L98)</f>
        <v>91</v>
      </c>
      <c r="M99" s="34">
        <f t="shared" si="34"/>
        <v>46</v>
      </c>
      <c r="N99" s="34">
        <f t="shared" si="34"/>
        <v>20</v>
      </c>
      <c r="O99" s="34">
        <f t="shared" si="34"/>
        <v>25</v>
      </c>
      <c r="P99" s="34">
        <f t="shared" si="34"/>
        <v>140</v>
      </c>
      <c r="Q99" s="34">
        <f t="shared" si="34"/>
        <v>100</v>
      </c>
      <c r="R99" s="34">
        <f t="shared" si="34"/>
        <v>158</v>
      </c>
      <c r="S99" s="75">
        <f t="shared" si="31"/>
        <v>0.57875457875457881</v>
      </c>
      <c r="T99" s="75">
        <f t="shared" si="32"/>
        <v>0.50549450549450547</v>
      </c>
    </row>
    <row r="101" spans="10:20" x14ac:dyDescent="0.2">
      <c r="J101" s="54"/>
      <c r="K101" s="55"/>
      <c r="L101" s="54"/>
      <c r="M101" s="54"/>
      <c r="N101" s="54"/>
      <c r="O101" s="54"/>
      <c r="P101" s="54"/>
      <c r="Q101" s="54"/>
    </row>
    <row r="102" spans="10:20" x14ac:dyDescent="0.2">
      <c r="J102" s="45" t="s">
        <v>1098</v>
      </c>
      <c r="K102" s="48"/>
      <c r="L102" s="58" t="s">
        <v>356</v>
      </c>
      <c r="M102" s="58" t="s">
        <v>281</v>
      </c>
      <c r="N102" s="58" t="s">
        <v>254</v>
      </c>
      <c r="O102" s="58" t="s">
        <v>268</v>
      </c>
      <c r="P102" s="58" t="s">
        <v>260</v>
      </c>
      <c r="Q102" s="58" t="s">
        <v>261</v>
      </c>
      <c r="R102" s="58" t="s">
        <v>357</v>
      </c>
    </row>
    <row r="103" spans="10:20" x14ac:dyDescent="0.2">
      <c r="J103" s="54" t="s">
        <v>1099</v>
      </c>
      <c r="K103" s="55"/>
      <c r="L103" s="54">
        <v>30</v>
      </c>
      <c r="M103" s="54">
        <v>11</v>
      </c>
      <c r="N103" s="54">
        <v>7</v>
      </c>
      <c r="O103" s="54">
        <v>12</v>
      </c>
      <c r="P103" s="54">
        <v>46</v>
      </c>
      <c r="Q103" s="54">
        <v>48</v>
      </c>
      <c r="R103" s="54">
        <v>40</v>
      </c>
      <c r="S103" s="47">
        <f>R103/(L103*3)</f>
        <v>0.44444444444444442</v>
      </c>
      <c r="T103" s="47">
        <f>M103/L103</f>
        <v>0.36666666666666664</v>
      </c>
    </row>
    <row r="104" spans="10:20" x14ac:dyDescent="0.2">
      <c r="J104" s="56" t="s">
        <v>1100</v>
      </c>
      <c r="K104" s="57"/>
      <c r="L104" s="56">
        <v>2</v>
      </c>
      <c r="M104" s="56">
        <v>1</v>
      </c>
      <c r="N104" s="56">
        <v>0</v>
      </c>
      <c r="O104" s="56">
        <v>1</v>
      </c>
      <c r="P104" s="56">
        <v>4</v>
      </c>
      <c r="Q104" s="56">
        <v>3</v>
      </c>
      <c r="R104" s="167">
        <f>M104*3+N104</f>
        <v>3</v>
      </c>
      <c r="S104" s="47">
        <f>R104/(L104*3)</f>
        <v>0.5</v>
      </c>
      <c r="T104" s="47">
        <f>M104/L104</f>
        <v>0.5</v>
      </c>
    </row>
    <row r="105" spans="10:20" x14ac:dyDescent="0.2">
      <c r="J105" s="34" t="s">
        <v>23</v>
      </c>
      <c r="K105" s="35"/>
      <c r="L105" s="34">
        <v>32</v>
      </c>
      <c r="M105" s="34">
        <v>12</v>
      </c>
      <c r="N105" s="34">
        <v>7</v>
      </c>
      <c r="O105" s="34">
        <v>13</v>
      </c>
      <c r="P105" s="34">
        <v>50</v>
      </c>
      <c r="Q105" s="34">
        <v>51</v>
      </c>
      <c r="R105" s="34">
        <v>40</v>
      </c>
      <c r="S105" s="75">
        <f>R105/(L105*3)</f>
        <v>0.41666666666666669</v>
      </c>
      <c r="T105" s="75">
        <f>M105/L105</f>
        <v>0.375</v>
      </c>
    </row>
    <row r="108" spans="10:20" x14ac:dyDescent="0.2">
      <c r="J108" s="45" t="s">
        <v>1083</v>
      </c>
      <c r="K108" s="48"/>
      <c r="L108" s="72"/>
      <c r="M108" s="72"/>
    </row>
    <row r="109" spans="10:20" x14ac:dyDescent="0.2">
      <c r="J109" s="54" t="s">
        <v>1080</v>
      </c>
      <c r="K109" s="55"/>
      <c r="L109" s="54">
        <v>31</v>
      </c>
      <c r="M109" s="54">
        <v>8</v>
      </c>
      <c r="N109" s="54">
        <v>13</v>
      </c>
      <c r="O109" s="54">
        <v>10</v>
      </c>
      <c r="P109" s="54">
        <v>39</v>
      </c>
      <c r="Q109" s="54">
        <v>44</v>
      </c>
      <c r="R109" s="54">
        <v>37</v>
      </c>
      <c r="S109" s="47">
        <f t="shared" ref="S109:S114" si="35">R109/(L109*3)</f>
        <v>0.39784946236559138</v>
      </c>
      <c r="T109" s="47">
        <f t="shared" ref="T109:T114" si="36">M109/L109</f>
        <v>0.25806451612903225</v>
      </c>
    </row>
    <row r="110" spans="10:20" x14ac:dyDescent="0.2">
      <c r="J110" s="56" t="s">
        <v>1084</v>
      </c>
      <c r="K110" s="57"/>
      <c r="L110" s="56">
        <v>1</v>
      </c>
      <c r="M110" s="56">
        <v>0</v>
      </c>
      <c r="N110" s="56">
        <v>0</v>
      </c>
      <c r="O110" s="56">
        <v>1</v>
      </c>
      <c r="P110" s="56">
        <v>1</v>
      </c>
      <c r="Q110" s="56">
        <v>2</v>
      </c>
      <c r="R110" s="167">
        <f>M110*3+N110</f>
        <v>0</v>
      </c>
      <c r="S110" s="47">
        <f t="shared" si="35"/>
        <v>0</v>
      </c>
      <c r="T110" s="47">
        <f t="shared" si="36"/>
        <v>0</v>
      </c>
    </row>
    <row r="111" spans="10:20" x14ac:dyDescent="0.2">
      <c r="J111" s="56" t="s">
        <v>1085</v>
      </c>
      <c r="K111" s="57"/>
      <c r="L111" s="56">
        <v>7</v>
      </c>
      <c r="M111" s="56">
        <v>6</v>
      </c>
      <c r="N111" s="56">
        <v>1</v>
      </c>
      <c r="O111" s="56">
        <v>0</v>
      </c>
      <c r="P111" s="56">
        <v>15</v>
      </c>
      <c r="Q111" s="56">
        <v>6</v>
      </c>
      <c r="R111" s="167">
        <f>M111*3+N111</f>
        <v>19</v>
      </c>
      <c r="S111" s="47">
        <f t="shared" si="35"/>
        <v>0.90476190476190477</v>
      </c>
      <c r="T111" s="47">
        <f t="shared" si="36"/>
        <v>0.8571428571428571</v>
      </c>
    </row>
    <row r="112" spans="10:20" x14ac:dyDescent="0.2">
      <c r="J112" s="54" t="s">
        <v>1099</v>
      </c>
      <c r="K112" s="55"/>
      <c r="L112" s="54">
        <v>12</v>
      </c>
      <c r="M112" s="54">
        <v>5</v>
      </c>
      <c r="N112" s="54">
        <v>3</v>
      </c>
      <c r="O112" s="54">
        <v>4</v>
      </c>
      <c r="P112" s="54">
        <v>19</v>
      </c>
      <c r="Q112" s="54">
        <v>14</v>
      </c>
      <c r="R112" s="54">
        <v>18</v>
      </c>
      <c r="S112" s="47">
        <f t="shared" si="35"/>
        <v>0.5</v>
      </c>
      <c r="T112" s="47">
        <f t="shared" si="36"/>
        <v>0.41666666666666669</v>
      </c>
    </row>
    <row r="113" spans="10:20" x14ac:dyDescent="0.2">
      <c r="J113" s="56" t="s">
        <v>1094</v>
      </c>
      <c r="K113" s="57"/>
      <c r="L113" s="56">
        <v>2</v>
      </c>
      <c r="M113" s="56">
        <v>1</v>
      </c>
      <c r="N113" s="56">
        <v>0</v>
      </c>
      <c r="O113" s="56">
        <v>1</v>
      </c>
      <c r="P113" s="56">
        <v>4</v>
      </c>
      <c r="Q113" s="56">
        <v>4</v>
      </c>
      <c r="R113" s="167">
        <f>M113*3+N113</f>
        <v>3</v>
      </c>
      <c r="S113" s="47">
        <f t="shared" si="35"/>
        <v>0.5</v>
      </c>
      <c r="T113" s="47">
        <f t="shared" si="36"/>
        <v>0.5</v>
      </c>
    </row>
    <row r="114" spans="10:20" x14ac:dyDescent="0.2">
      <c r="J114" s="34" t="s">
        <v>23</v>
      </c>
      <c r="K114" s="35"/>
      <c r="L114" s="34">
        <v>53</v>
      </c>
      <c r="M114" s="34">
        <v>20</v>
      </c>
      <c r="N114" s="34">
        <v>17</v>
      </c>
      <c r="O114" s="34">
        <v>16</v>
      </c>
      <c r="P114" s="34">
        <v>78</v>
      </c>
      <c r="Q114" s="34">
        <v>70</v>
      </c>
      <c r="R114" s="34">
        <v>55</v>
      </c>
      <c r="S114" s="75">
        <f t="shared" si="35"/>
        <v>0.34591194968553457</v>
      </c>
      <c r="T114" s="75">
        <f t="shared" si="36"/>
        <v>0.37735849056603776</v>
      </c>
    </row>
    <row r="116" spans="10:20" x14ac:dyDescent="0.2">
      <c r="J116" s="45" t="s">
        <v>1086</v>
      </c>
      <c r="K116" s="48"/>
      <c r="L116" s="46">
        <v>186</v>
      </c>
      <c r="M116" s="46">
        <v>76</v>
      </c>
      <c r="N116" s="46">
        <v>61</v>
      </c>
      <c r="O116" s="46">
        <v>49</v>
      </c>
      <c r="P116" s="46">
        <v>268</v>
      </c>
      <c r="Q116" s="46">
        <v>216</v>
      </c>
      <c r="R116" s="46">
        <v>289</v>
      </c>
      <c r="S116" s="47">
        <v>0.51792114695340496</v>
      </c>
      <c r="T116" s="47">
        <v>0.40860215053763443</v>
      </c>
    </row>
  </sheetData>
  <phoneticPr fontId="0" type="noConversion"/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4"/>
  <sheetViews>
    <sheetView zoomScale="125" zoomScaleNormal="125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K23" sqref="K23"/>
    </sheetView>
  </sheetViews>
  <sheetFormatPr defaultColWidth="9.140625" defaultRowHeight="11.25" x14ac:dyDescent="0.2"/>
  <cols>
    <col min="1" max="1" width="4" style="10" bestFit="1" customWidth="1"/>
    <col min="2" max="2" width="4" style="2" customWidth="1"/>
    <col min="3" max="3" width="3.42578125" style="2" bestFit="1" customWidth="1"/>
    <col min="4" max="4" width="4" style="2" bestFit="1" customWidth="1"/>
    <col min="5" max="5" width="4.42578125" style="2" customWidth="1"/>
    <col min="6" max="6" width="4" style="2" bestFit="1" customWidth="1"/>
    <col min="7" max="7" width="3.42578125" style="2" bestFit="1" customWidth="1"/>
    <col min="8" max="8" width="3.140625" style="2" bestFit="1" customWidth="1"/>
    <col min="9" max="9" width="3.7109375" style="2" bestFit="1" customWidth="1"/>
    <col min="10" max="10" width="3.28515625" style="2" bestFit="1" customWidth="1"/>
    <col min="11" max="11" width="3.5703125" style="2" bestFit="1" customWidth="1"/>
    <col min="12" max="12" width="3.7109375" style="2" bestFit="1" customWidth="1"/>
    <col min="13" max="13" width="3.5703125" style="2" bestFit="1" customWidth="1"/>
    <col min="14" max="14" width="6" style="10" bestFit="1" customWidth="1"/>
    <col min="15" max="15" width="8.42578125" style="2" bestFit="1" customWidth="1"/>
    <col min="16" max="16384" width="9.140625" style="2"/>
  </cols>
  <sheetData>
    <row r="1" spans="1:14" s="10" customFormat="1" x14ac:dyDescent="0.2">
      <c r="B1" s="31" t="s">
        <v>6</v>
      </c>
      <c r="C1" s="31" t="s">
        <v>7</v>
      </c>
      <c r="D1" s="31" t="s">
        <v>8</v>
      </c>
      <c r="E1" s="31" t="s">
        <v>9</v>
      </c>
      <c r="F1" s="31" t="s">
        <v>10</v>
      </c>
      <c r="G1" s="31" t="s">
        <v>11</v>
      </c>
      <c r="H1" s="31" t="s">
        <v>12</v>
      </c>
      <c r="I1" s="31" t="s">
        <v>13</v>
      </c>
      <c r="J1" s="31" t="s">
        <v>14</v>
      </c>
      <c r="K1" s="31" t="s">
        <v>15</v>
      </c>
      <c r="L1" s="31" t="s">
        <v>16</v>
      </c>
      <c r="M1" s="31" t="s">
        <v>17</v>
      </c>
      <c r="N1" s="31" t="s">
        <v>0</v>
      </c>
    </row>
    <row r="2" spans="1:14" x14ac:dyDescent="0.2">
      <c r="A2" s="10">
        <v>1</v>
      </c>
      <c r="B2" s="2">
        <v>37</v>
      </c>
      <c r="C2" s="2">
        <v>9</v>
      </c>
      <c r="D2" s="2">
        <v>18</v>
      </c>
      <c r="E2" s="2">
        <v>18</v>
      </c>
      <c r="F2" s="2">
        <v>12</v>
      </c>
      <c r="J2" s="2">
        <v>17</v>
      </c>
      <c r="K2" s="2">
        <v>19</v>
      </c>
      <c r="L2" s="2">
        <v>17</v>
      </c>
      <c r="M2" s="2">
        <v>12</v>
      </c>
      <c r="N2" s="10">
        <f t="shared" ref="N2:N31" si="0">SUM(B2:M2)</f>
        <v>159</v>
      </c>
    </row>
    <row r="3" spans="1:14" x14ac:dyDescent="0.2">
      <c r="A3" s="10">
        <v>2</v>
      </c>
      <c r="B3" s="2">
        <v>17</v>
      </c>
      <c r="C3" s="2">
        <v>10</v>
      </c>
      <c r="D3" s="2">
        <v>11</v>
      </c>
      <c r="E3" s="2">
        <v>23</v>
      </c>
      <c r="F3" s="2">
        <v>14</v>
      </c>
      <c r="J3" s="2">
        <v>18</v>
      </c>
      <c r="K3" s="2">
        <v>16</v>
      </c>
      <c r="L3" s="2">
        <v>13</v>
      </c>
      <c r="M3" s="2">
        <v>10</v>
      </c>
      <c r="N3" s="10">
        <f t="shared" si="0"/>
        <v>132</v>
      </c>
    </row>
    <row r="4" spans="1:14" x14ac:dyDescent="0.2">
      <c r="A4" s="10">
        <v>3</v>
      </c>
      <c r="B4" s="2">
        <v>8</v>
      </c>
      <c r="C4" s="2">
        <v>11</v>
      </c>
      <c r="D4" s="2">
        <v>18</v>
      </c>
      <c r="E4" s="2">
        <v>15</v>
      </c>
      <c r="F4" s="2">
        <v>11</v>
      </c>
      <c r="I4" s="2">
        <v>2</v>
      </c>
      <c r="J4" s="2">
        <v>17</v>
      </c>
      <c r="K4" s="2">
        <v>16</v>
      </c>
      <c r="L4" s="2">
        <v>10</v>
      </c>
      <c r="M4" s="2">
        <v>15</v>
      </c>
      <c r="N4" s="10">
        <f t="shared" si="0"/>
        <v>123</v>
      </c>
    </row>
    <row r="5" spans="1:14" x14ac:dyDescent="0.2">
      <c r="A5" s="10">
        <v>4</v>
      </c>
      <c r="B5" s="2">
        <v>7</v>
      </c>
      <c r="C5" s="2">
        <v>13</v>
      </c>
      <c r="D5" s="2">
        <v>14</v>
      </c>
      <c r="E5" s="2">
        <v>25</v>
      </c>
      <c r="F5" s="2">
        <v>7</v>
      </c>
      <c r="I5" s="2">
        <v>1</v>
      </c>
      <c r="J5" s="2">
        <v>21</v>
      </c>
      <c r="K5" s="2">
        <v>16</v>
      </c>
      <c r="L5" s="2">
        <v>18</v>
      </c>
      <c r="M5" s="2">
        <v>7</v>
      </c>
      <c r="N5" s="10">
        <f t="shared" si="0"/>
        <v>129</v>
      </c>
    </row>
    <row r="6" spans="1:14" x14ac:dyDescent="0.2">
      <c r="A6" s="10">
        <v>5</v>
      </c>
      <c r="B6" s="2">
        <v>10</v>
      </c>
      <c r="C6" s="2">
        <v>14</v>
      </c>
      <c r="D6" s="2">
        <v>23</v>
      </c>
      <c r="E6" s="2">
        <v>16</v>
      </c>
      <c r="F6" s="2">
        <v>10</v>
      </c>
      <c r="I6" s="2">
        <v>2</v>
      </c>
      <c r="J6" s="2">
        <v>18</v>
      </c>
      <c r="K6" s="2">
        <v>16</v>
      </c>
      <c r="L6" s="2">
        <v>12</v>
      </c>
      <c r="M6" s="2">
        <v>8</v>
      </c>
      <c r="N6" s="10">
        <f t="shared" si="0"/>
        <v>129</v>
      </c>
    </row>
    <row r="7" spans="1:14" x14ac:dyDescent="0.2">
      <c r="A7" s="10">
        <v>6</v>
      </c>
      <c r="B7" s="2">
        <v>5</v>
      </c>
      <c r="C7" s="2">
        <v>13</v>
      </c>
      <c r="D7" s="2">
        <v>14</v>
      </c>
      <c r="E7" s="2">
        <v>18</v>
      </c>
      <c r="F7" s="2">
        <v>10</v>
      </c>
      <c r="I7" s="2">
        <v>3</v>
      </c>
      <c r="J7" s="2">
        <v>16</v>
      </c>
      <c r="K7" s="2">
        <v>16</v>
      </c>
      <c r="L7" s="2">
        <v>13</v>
      </c>
      <c r="M7" s="2">
        <v>8</v>
      </c>
      <c r="N7" s="10">
        <f t="shared" si="0"/>
        <v>116</v>
      </c>
    </row>
    <row r="8" spans="1:14" x14ac:dyDescent="0.2">
      <c r="A8" s="10">
        <v>7</v>
      </c>
      <c r="B8" s="2">
        <v>8</v>
      </c>
      <c r="C8" s="2">
        <v>15</v>
      </c>
      <c r="D8" s="2">
        <v>17</v>
      </c>
      <c r="E8" s="2">
        <v>20</v>
      </c>
      <c r="F8" s="2">
        <v>11</v>
      </c>
      <c r="G8" s="2">
        <v>1</v>
      </c>
      <c r="I8" s="2">
        <v>2</v>
      </c>
      <c r="J8" s="2">
        <v>19</v>
      </c>
      <c r="K8" s="2">
        <v>18</v>
      </c>
      <c r="L8" s="2">
        <v>9</v>
      </c>
      <c r="M8" s="2">
        <v>7</v>
      </c>
      <c r="N8" s="10">
        <f t="shared" si="0"/>
        <v>127</v>
      </c>
    </row>
    <row r="9" spans="1:14" x14ac:dyDescent="0.2">
      <c r="A9" s="10">
        <v>8</v>
      </c>
      <c r="B9" s="2">
        <v>7</v>
      </c>
      <c r="C9" s="2">
        <v>13</v>
      </c>
      <c r="D9" s="2">
        <v>11</v>
      </c>
      <c r="E9" s="2">
        <v>19</v>
      </c>
      <c r="F9" s="2">
        <v>2</v>
      </c>
      <c r="I9" s="2">
        <v>4</v>
      </c>
      <c r="J9" s="2">
        <v>14</v>
      </c>
      <c r="K9" s="2">
        <v>11</v>
      </c>
      <c r="L9" s="2">
        <v>12</v>
      </c>
      <c r="M9" s="2">
        <v>9</v>
      </c>
      <c r="N9" s="10">
        <f t="shared" si="0"/>
        <v>102</v>
      </c>
    </row>
    <row r="10" spans="1:14" x14ac:dyDescent="0.2">
      <c r="A10" s="10">
        <v>9</v>
      </c>
      <c r="B10" s="2">
        <v>6</v>
      </c>
      <c r="C10" s="2">
        <v>11</v>
      </c>
      <c r="D10" s="2">
        <v>17</v>
      </c>
      <c r="E10" s="2">
        <v>19</v>
      </c>
      <c r="F10" s="2">
        <v>3</v>
      </c>
      <c r="I10" s="2">
        <v>6</v>
      </c>
      <c r="J10" s="2">
        <v>15</v>
      </c>
      <c r="K10" s="2">
        <v>20</v>
      </c>
      <c r="L10" s="2">
        <v>13</v>
      </c>
      <c r="M10" s="2">
        <v>7</v>
      </c>
      <c r="N10" s="10">
        <f t="shared" si="0"/>
        <v>117</v>
      </c>
    </row>
    <row r="11" spans="1:14" x14ac:dyDescent="0.2">
      <c r="A11" s="10">
        <v>10</v>
      </c>
      <c r="B11" s="2">
        <v>10</v>
      </c>
      <c r="C11" s="2">
        <v>15</v>
      </c>
      <c r="D11" s="2">
        <v>15</v>
      </c>
      <c r="E11" s="2">
        <v>17</v>
      </c>
      <c r="F11" s="2">
        <v>2</v>
      </c>
      <c r="I11" s="2">
        <v>5</v>
      </c>
      <c r="J11" s="2">
        <v>21</v>
      </c>
      <c r="K11" s="2">
        <v>11</v>
      </c>
      <c r="L11" s="2">
        <v>10</v>
      </c>
      <c r="M11" s="2">
        <v>7</v>
      </c>
      <c r="N11" s="10">
        <f t="shared" si="0"/>
        <v>113</v>
      </c>
    </row>
    <row r="12" spans="1:14" x14ac:dyDescent="0.2">
      <c r="A12" s="10">
        <v>11</v>
      </c>
      <c r="B12" s="2">
        <v>11</v>
      </c>
      <c r="C12" s="2">
        <v>11</v>
      </c>
      <c r="D12" s="2">
        <v>11</v>
      </c>
      <c r="E12" s="2">
        <v>18</v>
      </c>
      <c r="F12" s="2">
        <v>6</v>
      </c>
      <c r="I12" s="2">
        <v>4</v>
      </c>
      <c r="J12" s="2">
        <v>14</v>
      </c>
      <c r="K12" s="2">
        <v>16</v>
      </c>
      <c r="L12" s="2">
        <v>12</v>
      </c>
      <c r="M12" s="2">
        <v>4</v>
      </c>
      <c r="N12" s="10">
        <f t="shared" si="0"/>
        <v>107</v>
      </c>
    </row>
    <row r="13" spans="1:14" x14ac:dyDescent="0.2">
      <c r="A13" s="10">
        <v>12</v>
      </c>
      <c r="B13" s="2">
        <v>8</v>
      </c>
      <c r="C13" s="2">
        <v>16</v>
      </c>
      <c r="D13" s="2">
        <v>18</v>
      </c>
      <c r="E13" s="2">
        <v>22</v>
      </c>
      <c r="F13" s="2">
        <v>1</v>
      </c>
      <c r="I13" s="2">
        <v>6</v>
      </c>
      <c r="J13" s="2">
        <v>21</v>
      </c>
      <c r="K13" s="2">
        <v>16</v>
      </c>
      <c r="L13" s="2">
        <v>13</v>
      </c>
      <c r="M13" s="2">
        <v>9</v>
      </c>
      <c r="N13" s="10">
        <f t="shared" si="0"/>
        <v>130</v>
      </c>
    </row>
    <row r="14" spans="1:14" x14ac:dyDescent="0.2">
      <c r="A14" s="10">
        <v>13</v>
      </c>
      <c r="B14" s="2">
        <v>6</v>
      </c>
      <c r="C14" s="2">
        <v>13</v>
      </c>
      <c r="D14" s="2">
        <v>19</v>
      </c>
      <c r="E14" s="2">
        <v>21</v>
      </c>
      <c r="F14" s="2">
        <v>2</v>
      </c>
      <c r="I14" s="2">
        <v>7</v>
      </c>
      <c r="J14" s="2">
        <v>19</v>
      </c>
      <c r="K14" s="2">
        <v>11</v>
      </c>
      <c r="L14" s="2">
        <v>9</v>
      </c>
      <c r="M14" s="2">
        <v>8</v>
      </c>
      <c r="N14" s="10">
        <f t="shared" si="0"/>
        <v>115</v>
      </c>
    </row>
    <row r="15" spans="1:14" x14ac:dyDescent="0.2">
      <c r="A15" s="10">
        <v>14</v>
      </c>
      <c r="B15" s="2">
        <v>9</v>
      </c>
      <c r="C15" s="2">
        <v>12</v>
      </c>
      <c r="D15" s="2">
        <v>17</v>
      </c>
      <c r="E15" s="2">
        <v>22</v>
      </c>
      <c r="F15" s="2">
        <v>5</v>
      </c>
      <c r="I15" s="2">
        <v>9</v>
      </c>
      <c r="J15" s="2">
        <v>18</v>
      </c>
      <c r="K15" s="2">
        <v>10</v>
      </c>
      <c r="L15" s="2">
        <v>9</v>
      </c>
      <c r="M15" s="2">
        <v>9</v>
      </c>
      <c r="N15" s="10">
        <f t="shared" si="0"/>
        <v>120</v>
      </c>
    </row>
    <row r="16" spans="1:14" x14ac:dyDescent="0.2">
      <c r="A16" s="10">
        <v>15</v>
      </c>
      <c r="B16" s="2">
        <v>9</v>
      </c>
      <c r="C16" s="2">
        <v>12</v>
      </c>
      <c r="D16" s="2">
        <v>14</v>
      </c>
      <c r="E16" s="2">
        <v>22</v>
      </c>
      <c r="F16" s="2">
        <v>2</v>
      </c>
      <c r="I16" s="2">
        <v>9</v>
      </c>
      <c r="J16" s="2">
        <v>17</v>
      </c>
      <c r="K16" s="2">
        <v>14</v>
      </c>
      <c r="L16" s="2">
        <v>8</v>
      </c>
      <c r="M16" s="2">
        <v>7</v>
      </c>
      <c r="N16" s="10">
        <f t="shared" si="0"/>
        <v>114</v>
      </c>
    </row>
    <row r="17" spans="1:15" x14ac:dyDescent="0.2">
      <c r="A17" s="10">
        <v>16</v>
      </c>
      <c r="B17" s="2">
        <v>11</v>
      </c>
      <c r="C17" s="2">
        <v>12</v>
      </c>
      <c r="D17" s="2">
        <v>17</v>
      </c>
      <c r="E17" s="2">
        <v>25</v>
      </c>
      <c r="I17" s="2">
        <v>10</v>
      </c>
      <c r="J17" s="2">
        <v>19</v>
      </c>
      <c r="K17" s="2">
        <v>14</v>
      </c>
      <c r="L17" s="2">
        <v>5</v>
      </c>
      <c r="M17" s="2">
        <v>9</v>
      </c>
      <c r="N17" s="10">
        <f t="shared" si="0"/>
        <v>122</v>
      </c>
    </row>
    <row r="18" spans="1:15" x14ac:dyDescent="0.2">
      <c r="A18" s="10">
        <v>17</v>
      </c>
      <c r="B18" s="2">
        <v>11</v>
      </c>
      <c r="C18" s="2">
        <v>13</v>
      </c>
      <c r="D18" s="2">
        <v>9</v>
      </c>
      <c r="E18" s="2">
        <v>17</v>
      </c>
      <c r="F18" s="2">
        <v>2</v>
      </c>
      <c r="I18" s="2">
        <v>12</v>
      </c>
      <c r="J18" s="2">
        <v>19</v>
      </c>
      <c r="K18" s="2">
        <v>18</v>
      </c>
      <c r="L18" s="2">
        <v>8</v>
      </c>
      <c r="M18" s="2">
        <v>10</v>
      </c>
      <c r="N18" s="10">
        <f t="shared" si="0"/>
        <v>119</v>
      </c>
    </row>
    <row r="19" spans="1:15" x14ac:dyDescent="0.2">
      <c r="A19" s="10">
        <v>18</v>
      </c>
      <c r="B19" s="2">
        <v>15</v>
      </c>
      <c r="C19" s="2">
        <v>13</v>
      </c>
      <c r="D19" s="2">
        <v>24</v>
      </c>
      <c r="E19" s="2">
        <v>19</v>
      </c>
      <c r="F19" s="2">
        <v>1</v>
      </c>
      <c r="I19" s="2">
        <v>10</v>
      </c>
      <c r="J19" s="2">
        <v>22</v>
      </c>
      <c r="K19" s="2">
        <v>15</v>
      </c>
      <c r="L19" s="2">
        <v>10</v>
      </c>
      <c r="M19" s="2">
        <v>8</v>
      </c>
      <c r="N19" s="10">
        <f t="shared" si="0"/>
        <v>137</v>
      </c>
    </row>
    <row r="20" spans="1:15" x14ac:dyDescent="0.2">
      <c r="A20" s="10">
        <v>19</v>
      </c>
      <c r="B20" s="2">
        <v>11</v>
      </c>
      <c r="C20" s="2">
        <v>10</v>
      </c>
      <c r="D20" s="2">
        <v>19</v>
      </c>
      <c r="E20" s="2">
        <v>26</v>
      </c>
      <c r="F20" s="2">
        <v>1</v>
      </c>
      <c r="I20" s="2">
        <v>13</v>
      </c>
      <c r="J20" s="2">
        <v>16</v>
      </c>
      <c r="K20" s="2">
        <v>18</v>
      </c>
      <c r="L20" s="2">
        <v>11</v>
      </c>
      <c r="M20" s="2">
        <v>13</v>
      </c>
      <c r="N20" s="10">
        <f t="shared" si="0"/>
        <v>138</v>
      </c>
    </row>
    <row r="21" spans="1:15" x14ac:dyDescent="0.2">
      <c r="A21" s="10">
        <v>20</v>
      </c>
      <c r="B21" s="2">
        <v>9</v>
      </c>
      <c r="C21" s="2">
        <v>14</v>
      </c>
      <c r="D21" s="2">
        <v>15</v>
      </c>
      <c r="E21" s="2">
        <v>17</v>
      </c>
      <c r="F21" s="2">
        <v>1</v>
      </c>
      <c r="I21" s="2">
        <v>15</v>
      </c>
      <c r="J21" s="2">
        <v>16</v>
      </c>
      <c r="K21" s="2">
        <v>12</v>
      </c>
      <c r="L21" s="2">
        <v>7</v>
      </c>
      <c r="M21" s="2">
        <v>12</v>
      </c>
      <c r="N21" s="10">
        <f t="shared" si="0"/>
        <v>118</v>
      </c>
    </row>
    <row r="22" spans="1:15" x14ac:dyDescent="0.2">
      <c r="A22" s="10">
        <v>21</v>
      </c>
      <c r="B22" s="2">
        <v>12</v>
      </c>
      <c r="C22" s="2">
        <v>15</v>
      </c>
      <c r="D22" s="2">
        <v>12</v>
      </c>
      <c r="E22" s="2">
        <v>22</v>
      </c>
      <c r="F22" s="2">
        <v>2</v>
      </c>
      <c r="I22" s="2">
        <v>14</v>
      </c>
      <c r="J22" s="2">
        <v>17</v>
      </c>
      <c r="K22" s="2">
        <v>22</v>
      </c>
      <c r="L22" s="2">
        <v>10</v>
      </c>
      <c r="M22" s="2">
        <v>12</v>
      </c>
      <c r="N22" s="10">
        <f t="shared" si="0"/>
        <v>138</v>
      </c>
    </row>
    <row r="23" spans="1:15" x14ac:dyDescent="0.2">
      <c r="A23" s="10">
        <v>22</v>
      </c>
      <c r="B23" s="2">
        <v>9</v>
      </c>
      <c r="C23" s="2">
        <v>16</v>
      </c>
      <c r="D23" s="2">
        <v>15</v>
      </c>
      <c r="E23" s="2">
        <v>21</v>
      </c>
      <c r="I23" s="2">
        <v>11</v>
      </c>
      <c r="J23" s="2">
        <v>14</v>
      </c>
      <c r="K23" s="2">
        <v>17</v>
      </c>
      <c r="L23" s="2">
        <v>10</v>
      </c>
      <c r="M23" s="2">
        <v>7</v>
      </c>
      <c r="N23" s="10">
        <f t="shared" si="0"/>
        <v>120</v>
      </c>
    </row>
    <row r="24" spans="1:15" x14ac:dyDescent="0.2">
      <c r="A24" s="10">
        <v>23</v>
      </c>
      <c r="B24" s="2">
        <v>14</v>
      </c>
      <c r="C24" s="2">
        <v>10</v>
      </c>
      <c r="D24" s="2">
        <v>14</v>
      </c>
      <c r="E24" s="2">
        <v>21</v>
      </c>
      <c r="I24" s="2">
        <v>15</v>
      </c>
      <c r="J24" s="2">
        <v>16</v>
      </c>
      <c r="K24" s="2">
        <v>15</v>
      </c>
      <c r="L24" s="2">
        <v>13</v>
      </c>
      <c r="M24" s="2">
        <v>9</v>
      </c>
      <c r="N24" s="10">
        <f t="shared" si="0"/>
        <v>127</v>
      </c>
    </row>
    <row r="25" spans="1:15" x14ac:dyDescent="0.2">
      <c r="A25" s="10">
        <v>24</v>
      </c>
      <c r="B25" s="2">
        <v>12</v>
      </c>
      <c r="C25" s="2">
        <v>20</v>
      </c>
      <c r="D25" s="2">
        <v>18</v>
      </c>
      <c r="E25" s="2">
        <v>16</v>
      </c>
      <c r="F25" s="2">
        <v>1</v>
      </c>
      <c r="I25" s="2">
        <v>18</v>
      </c>
      <c r="J25" s="2">
        <v>16</v>
      </c>
      <c r="K25" s="2">
        <v>12</v>
      </c>
      <c r="L25" s="2">
        <v>10</v>
      </c>
      <c r="M25" s="2">
        <v>4</v>
      </c>
      <c r="N25" s="10">
        <f t="shared" si="0"/>
        <v>127</v>
      </c>
    </row>
    <row r="26" spans="1:15" x14ac:dyDescent="0.2">
      <c r="A26" s="10">
        <v>25</v>
      </c>
      <c r="B26" s="2">
        <v>11</v>
      </c>
      <c r="C26" s="2">
        <v>12</v>
      </c>
      <c r="D26" s="2">
        <v>19</v>
      </c>
      <c r="E26" s="2">
        <v>18</v>
      </c>
      <c r="I26" s="2">
        <v>18</v>
      </c>
      <c r="J26" s="2">
        <v>18</v>
      </c>
      <c r="K26" s="2">
        <v>16</v>
      </c>
      <c r="L26" s="2">
        <v>6</v>
      </c>
      <c r="M26" s="2">
        <v>15</v>
      </c>
      <c r="N26" s="10">
        <f t="shared" si="0"/>
        <v>133</v>
      </c>
    </row>
    <row r="27" spans="1:15" x14ac:dyDescent="0.2">
      <c r="A27" s="10">
        <v>26</v>
      </c>
      <c r="B27" s="2">
        <v>10</v>
      </c>
      <c r="C27" s="2">
        <v>15</v>
      </c>
      <c r="D27" s="2">
        <v>22</v>
      </c>
      <c r="E27" s="2">
        <v>17</v>
      </c>
      <c r="F27" s="2">
        <v>1</v>
      </c>
      <c r="I27" s="2">
        <v>21</v>
      </c>
      <c r="J27" s="2">
        <v>18</v>
      </c>
      <c r="K27" s="2">
        <v>15</v>
      </c>
      <c r="L27" s="2">
        <v>11</v>
      </c>
      <c r="M27" s="2">
        <v>69</v>
      </c>
      <c r="N27" s="10">
        <f t="shared" si="0"/>
        <v>199</v>
      </c>
    </row>
    <row r="28" spans="1:15" x14ac:dyDescent="0.2">
      <c r="A28" s="10">
        <v>27</v>
      </c>
      <c r="B28" s="2">
        <v>12</v>
      </c>
      <c r="C28" s="2">
        <v>11</v>
      </c>
      <c r="D28" s="2">
        <v>19</v>
      </c>
      <c r="E28" s="2">
        <v>16</v>
      </c>
      <c r="F28" s="2">
        <v>1</v>
      </c>
      <c r="I28" s="2">
        <v>15</v>
      </c>
      <c r="J28" s="2">
        <v>19</v>
      </c>
      <c r="K28" s="2">
        <v>10</v>
      </c>
      <c r="L28" s="2">
        <v>9</v>
      </c>
      <c r="M28" s="2">
        <v>22</v>
      </c>
      <c r="N28" s="10">
        <f t="shared" si="0"/>
        <v>134</v>
      </c>
    </row>
    <row r="29" spans="1:15" x14ac:dyDescent="0.2">
      <c r="A29" s="10">
        <v>28</v>
      </c>
      <c r="B29" s="2">
        <v>9</v>
      </c>
      <c r="C29" s="2">
        <v>19</v>
      </c>
      <c r="D29" s="2">
        <v>19</v>
      </c>
      <c r="E29" s="2">
        <v>18</v>
      </c>
      <c r="I29" s="2">
        <v>21</v>
      </c>
      <c r="J29" s="2">
        <v>21</v>
      </c>
      <c r="K29" s="2">
        <v>15</v>
      </c>
      <c r="L29" s="2">
        <v>9</v>
      </c>
      <c r="M29" s="2">
        <v>27</v>
      </c>
      <c r="N29" s="10">
        <f t="shared" si="0"/>
        <v>158</v>
      </c>
    </row>
    <row r="30" spans="1:15" x14ac:dyDescent="0.2">
      <c r="A30" s="10">
        <v>29</v>
      </c>
      <c r="B30" s="2">
        <v>14</v>
      </c>
      <c r="C30" s="2">
        <v>3</v>
      </c>
      <c r="D30" s="2">
        <v>20</v>
      </c>
      <c r="E30" s="2">
        <v>14</v>
      </c>
      <c r="I30" s="2">
        <v>23</v>
      </c>
      <c r="J30" s="2">
        <v>18</v>
      </c>
      <c r="K30" s="2">
        <v>16</v>
      </c>
      <c r="L30" s="2">
        <v>11</v>
      </c>
      <c r="M30" s="2">
        <v>15</v>
      </c>
      <c r="N30" s="10">
        <f t="shared" si="0"/>
        <v>134</v>
      </c>
    </row>
    <row r="31" spans="1:15" x14ac:dyDescent="0.2">
      <c r="A31" s="10">
        <v>30</v>
      </c>
      <c r="B31" s="2">
        <v>9</v>
      </c>
      <c r="D31" s="2">
        <v>17</v>
      </c>
      <c r="E31" s="2">
        <v>14</v>
      </c>
      <c r="I31" s="2">
        <v>20</v>
      </c>
      <c r="J31" s="2">
        <v>17</v>
      </c>
      <c r="K31" s="2">
        <v>12</v>
      </c>
      <c r="L31" s="2">
        <v>11</v>
      </c>
      <c r="M31" s="2">
        <v>5</v>
      </c>
      <c r="N31" s="10">
        <f t="shared" si="0"/>
        <v>105</v>
      </c>
    </row>
    <row r="32" spans="1:15" x14ac:dyDescent="0.2">
      <c r="A32" s="10">
        <v>31</v>
      </c>
      <c r="B32" s="2">
        <v>11</v>
      </c>
      <c r="D32" s="2">
        <v>20</v>
      </c>
      <c r="F32" s="2">
        <v>1</v>
      </c>
      <c r="I32" s="2">
        <v>23</v>
      </c>
      <c r="K32" s="2">
        <v>13</v>
      </c>
      <c r="M32" s="2">
        <v>10</v>
      </c>
      <c r="N32" s="10">
        <f>SUM(B32:M32)</f>
        <v>78</v>
      </c>
      <c r="O32" s="77" t="s">
        <v>5</v>
      </c>
    </row>
    <row r="33" spans="1:15" x14ac:dyDescent="0.2">
      <c r="O33" s="77"/>
    </row>
    <row r="34" spans="1:15" s="10" customFormat="1" x14ac:dyDescent="0.2">
      <c r="B34" s="10">
        <f>SUM(B2:B32)</f>
        <v>338</v>
      </c>
      <c r="C34" s="10">
        <f t="shared" ref="C34:N34" si="1">SUM(C2:C32)</f>
        <v>371</v>
      </c>
      <c r="D34" s="10">
        <f t="shared" si="1"/>
        <v>516</v>
      </c>
      <c r="E34" s="10">
        <f t="shared" si="1"/>
        <v>576</v>
      </c>
      <c r="F34" s="10">
        <f t="shared" si="1"/>
        <v>109</v>
      </c>
      <c r="G34" s="10">
        <f t="shared" si="1"/>
        <v>1</v>
      </c>
      <c r="H34" s="10">
        <f t="shared" si="1"/>
        <v>0</v>
      </c>
      <c r="I34" s="10">
        <f t="shared" si="1"/>
        <v>319</v>
      </c>
      <c r="J34" s="10">
        <f t="shared" si="1"/>
        <v>531</v>
      </c>
      <c r="K34" s="10">
        <f t="shared" si="1"/>
        <v>466</v>
      </c>
      <c r="L34" s="10">
        <f t="shared" si="1"/>
        <v>319</v>
      </c>
      <c r="M34" s="10">
        <f t="shared" si="1"/>
        <v>374</v>
      </c>
      <c r="N34" s="10">
        <f t="shared" si="1"/>
        <v>3920</v>
      </c>
      <c r="O34" s="77">
        <f>N34-3905</f>
        <v>15</v>
      </c>
    </row>
    <row r="36" spans="1:15" x14ac:dyDescent="0.2">
      <c r="A36" s="10" t="s">
        <v>1</v>
      </c>
      <c r="B36" s="2">
        <f>MIN(B2:B32)</f>
        <v>5</v>
      </c>
      <c r="C36" s="2">
        <f t="shared" ref="C36:N36" si="2">MIN(C2:C32)</f>
        <v>3</v>
      </c>
      <c r="D36" s="2">
        <f t="shared" si="2"/>
        <v>9</v>
      </c>
      <c r="E36" s="2">
        <f t="shared" si="2"/>
        <v>14</v>
      </c>
      <c r="F36" s="2">
        <f t="shared" si="2"/>
        <v>1</v>
      </c>
      <c r="G36" s="2">
        <f t="shared" si="2"/>
        <v>1</v>
      </c>
      <c r="H36" s="2">
        <f t="shared" si="2"/>
        <v>0</v>
      </c>
      <c r="I36" s="2">
        <f t="shared" si="2"/>
        <v>1</v>
      </c>
      <c r="J36" s="2">
        <f t="shared" si="2"/>
        <v>14</v>
      </c>
      <c r="K36" s="2">
        <f t="shared" si="2"/>
        <v>10</v>
      </c>
      <c r="L36" s="2">
        <f t="shared" si="2"/>
        <v>5</v>
      </c>
      <c r="M36" s="2">
        <f t="shared" si="2"/>
        <v>4</v>
      </c>
      <c r="N36" s="2">
        <f t="shared" si="2"/>
        <v>78</v>
      </c>
    </row>
    <row r="37" spans="1:15" x14ac:dyDescent="0.2">
      <c r="A37" s="10" t="s">
        <v>2</v>
      </c>
      <c r="B37" s="78">
        <f>B34/31</f>
        <v>10.903225806451612</v>
      </c>
      <c r="C37" s="78">
        <f>C34/29</f>
        <v>12.793103448275861</v>
      </c>
      <c r="D37" s="78">
        <f>D34/31</f>
        <v>16.64516129032258</v>
      </c>
      <c r="E37" s="78">
        <f>E34/30</f>
        <v>19.2</v>
      </c>
      <c r="F37" s="78">
        <f>F34/31</f>
        <v>3.5161290322580645</v>
      </c>
      <c r="G37" s="78">
        <f>G34/30</f>
        <v>3.3333333333333333E-2</v>
      </c>
      <c r="H37" s="78">
        <f>H34/31</f>
        <v>0</v>
      </c>
      <c r="I37" s="78">
        <f>I34/31</f>
        <v>10.290322580645162</v>
      </c>
      <c r="J37" s="78">
        <f>J34/30</f>
        <v>17.7</v>
      </c>
      <c r="K37" s="78">
        <f>K34/31</f>
        <v>15.03225806451613</v>
      </c>
      <c r="L37" s="78">
        <f>L34/30</f>
        <v>10.633333333333333</v>
      </c>
      <c r="M37" s="78">
        <f>M34/31</f>
        <v>12.064516129032258</v>
      </c>
      <c r="N37" s="78">
        <f>N34/31</f>
        <v>126.45161290322581</v>
      </c>
    </row>
    <row r="38" spans="1:15" x14ac:dyDescent="0.2">
      <c r="A38" s="10" t="s">
        <v>3</v>
      </c>
      <c r="B38" s="2">
        <f>MAX(B2:B32)</f>
        <v>37</v>
      </c>
      <c r="C38" s="2">
        <f t="shared" ref="C38:N38" si="3">MAX(C2:C32)</f>
        <v>20</v>
      </c>
      <c r="D38" s="2">
        <f t="shared" si="3"/>
        <v>24</v>
      </c>
      <c r="E38" s="2">
        <f t="shared" si="3"/>
        <v>26</v>
      </c>
      <c r="F38" s="2">
        <f t="shared" si="3"/>
        <v>14</v>
      </c>
      <c r="G38" s="2">
        <f t="shared" si="3"/>
        <v>1</v>
      </c>
      <c r="H38" s="2">
        <f t="shared" si="3"/>
        <v>0</v>
      </c>
      <c r="I38" s="2">
        <f t="shared" si="3"/>
        <v>23</v>
      </c>
      <c r="J38" s="2">
        <f t="shared" si="3"/>
        <v>22</v>
      </c>
      <c r="K38" s="2">
        <f t="shared" si="3"/>
        <v>22</v>
      </c>
      <c r="L38" s="2">
        <f t="shared" si="3"/>
        <v>18</v>
      </c>
      <c r="M38" s="2">
        <f t="shared" si="3"/>
        <v>69</v>
      </c>
      <c r="N38" s="2">
        <f t="shared" si="3"/>
        <v>199</v>
      </c>
    </row>
    <row r="40" spans="1:15" x14ac:dyDescent="0.2">
      <c r="D40" s="12"/>
      <c r="N40" s="77" t="s">
        <v>4</v>
      </c>
      <c r="O40" s="79">
        <v>45587</v>
      </c>
    </row>
    <row r="42" spans="1:15" x14ac:dyDescent="0.2">
      <c r="B42" s="77" t="s">
        <v>154</v>
      </c>
      <c r="C42" s="77"/>
      <c r="D42" s="77"/>
      <c r="E42" s="77" t="s">
        <v>155</v>
      </c>
      <c r="F42" s="77"/>
      <c r="G42" s="77"/>
      <c r="H42" s="77"/>
      <c r="I42" s="77"/>
      <c r="J42" s="77"/>
      <c r="K42" s="77"/>
    </row>
    <row r="43" spans="1:15" x14ac:dyDescent="0.2">
      <c r="B43" s="77"/>
      <c r="C43" s="77"/>
      <c r="D43" s="77"/>
      <c r="E43" s="77" t="s">
        <v>1172</v>
      </c>
      <c r="F43" s="77"/>
      <c r="G43" s="77"/>
      <c r="H43" s="77"/>
      <c r="I43" s="77"/>
      <c r="J43" s="77"/>
      <c r="K43" s="77"/>
    </row>
    <row r="44" spans="1:15" x14ac:dyDescent="0.2">
      <c r="B44" s="77"/>
      <c r="C44" s="77"/>
      <c r="D44" s="77"/>
      <c r="E44" s="77"/>
      <c r="F44" s="77"/>
      <c r="G44" s="77"/>
      <c r="H44" s="77"/>
      <c r="I44" s="77"/>
      <c r="J44" s="77"/>
      <c r="K44" s="77"/>
    </row>
  </sheetData>
  <phoneticPr fontId="0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5"/>
  <sheetViews>
    <sheetView zoomScale="125" zoomScaleNormal="125" workbookViewId="0">
      <pane xSplit="2" ySplit="1" topLeftCell="C77" activePane="bottomRight" state="frozen"/>
      <selection pane="topRight" activeCell="C1" sqref="C1"/>
      <selection pane="bottomLeft" activeCell="A2" sqref="A2"/>
      <selection pane="bottomRight" activeCell="C99" sqref="C99"/>
    </sheetView>
  </sheetViews>
  <sheetFormatPr defaultColWidth="9.140625" defaultRowHeight="11.25" x14ac:dyDescent="0.2"/>
  <cols>
    <col min="1" max="1" width="5.28515625" style="1" bestFit="1" customWidth="1"/>
    <col min="2" max="2" width="7.140625" style="1" bestFit="1" customWidth="1"/>
    <col min="3" max="3" width="8.42578125" style="23" bestFit="1" customWidth="1"/>
    <col min="4" max="4" width="3.42578125" style="23" bestFit="1" customWidth="1"/>
    <col min="5" max="5" width="3.5703125" style="23" bestFit="1" customWidth="1"/>
    <col min="6" max="6" width="3.85546875" style="23" bestFit="1" customWidth="1"/>
    <col min="7" max="7" width="3.5703125" style="23" bestFit="1" customWidth="1"/>
    <col min="8" max="8" width="4.140625" style="23" bestFit="1" customWidth="1"/>
    <col min="9" max="9" width="3.7109375" style="23" bestFit="1" customWidth="1"/>
    <col min="10" max="10" width="4.85546875" style="1" bestFit="1" customWidth="1"/>
    <col min="11" max="11" width="5.28515625" style="23" bestFit="1" customWidth="1"/>
    <col min="12" max="16384" width="9.140625" style="2"/>
  </cols>
  <sheetData>
    <row r="1" spans="1:16" s="10" customFormat="1" x14ac:dyDescent="0.2">
      <c r="A1" s="1" t="s">
        <v>60</v>
      </c>
      <c r="B1" s="1" t="s">
        <v>61</v>
      </c>
      <c r="C1" s="1" t="s">
        <v>62</v>
      </c>
      <c r="D1" s="1" t="s">
        <v>63</v>
      </c>
      <c r="E1" s="1" t="s">
        <v>64</v>
      </c>
      <c r="F1" s="1" t="s">
        <v>65</v>
      </c>
      <c r="G1" s="1" t="s">
        <v>66</v>
      </c>
      <c r="H1" s="1" t="s">
        <v>67</v>
      </c>
      <c r="I1" s="1" t="s">
        <v>68</v>
      </c>
      <c r="J1" s="1" t="s">
        <v>23</v>
      </c>
      <c r="K1" s="1" t="s">
        <v>69</v>
      </c>
      <c r="P1" s="23"/>
    </row>
    <row r="2" spans="1:16" x14ac:dyDescent="0.2">
      <c r="A2" s="1">
        <v>1</v>
      </c>
      <c r="B2" s="1" t="s">
        <v>70</v>
      </c>
      <c r="C2" s="23">
        <v>32</v>
      </c>
      <c r="D2" s="23">
        <v>1</v>
      </c>
      <c r="E2" s="23">
        <v>1</v>
      </c>
      <c r="F2" s="23">
        <v>7</v>
      </c>
      <c r="H2" s="23">
        <v>1</v>
      </c>
      <c r="J2" s="1">
        <f t="shared" ref="J2:J63" si="0">SUM(C2:I2)</f>
        <v>42</v>
      </c>
      <c r="K2" s="23">
        <f t="shared" ref="K2:K63" si="1">COUNT(C2:I2)</f>
        <v>5</v>
      </c>
      <c r="P2" s="23"/>
    </row>
    <row r="3" spans="1:16" x14ac:dyDescent="0.2">
      <c r="A3" s="1">
        <v>2</v>
      </c>
      <c r="B3" s="1" t="s">
        <v>71</v>
      </c>
      <c r="C3" s="23">
        <v>31</v>
      </c>
      <c r="D3" s="23">
        <v>2</v>
      </c>
      <c r="E3" s="23">
        <v>3</v>
      </c>
      <c r="F3" s="23">
        <v>4</v>
      </c>
      <c r="G3" s="23">
        <v>1</v>
      </c>
      <c r="H3" s="23">
        <v>1</v>
      </c>
      <c r="J3" s="1">
        <f t="shared" si="0"/>
        <v>42</v>
      </c>
      <c r="K3" s="23">
        <f t="shared" si="1"/>
        <v>6</v>
      </c>
      <c r="P3" s="23"/>
    </row>
    <row r="4" spans="1:16" x14ac:dyDescent="0.2">
      <c r="A4" s="1">
        <v>3</v>
      </c>
      <c r="B4" s="1" t="s">
        <v>72</v>
      </c>
      <c r="C4" s="23">
        <v>32</v>
      </c>
      <c r="D4" s="23">
        <v>3</v>
      </c>
      <c r="E4" s="23">
        <v>1</v>
      </c>
      <c r="F4" s="23">
        <v>3</v>
      </c>
      <c r="H4" s="23">
        <v>1</v>
      </c>
      <c r="J4" s="1">
        <f t="shared" si="0"/>
        <v>40</v>
      </c>
      <c r="K4" s="23">
        <f t="shared" si="1"/>
        <v>5</v>
      </c>
      <c r="P4" s="23"/>
    </row>
    <row r="5" spans="1:16" x14ac:dyDescent="0.2">
      <c r="A5" s="1">
        <v>4</v>
      </c>
      <c r="B5" s="1" t="s">
        <v>73</v>
      </c>
      <c r="C5" s="23">
        <v>33</v>
      </c>
      <c r="D5" s="23">
        <v>1</v>
      </c>
      <c r="F5" s="23">
        <v>4</v>
      </c>
      <c r="G5" s="23">
        <v>1</v>
      </c>
      <c r="H5" s="23">
        <v>3</v>
      </c>
      <c r="J5" s="1">
        <f t="shared" si="0"/>
        <v>42</v>
      </c>
      <c r="K5" s="23">
        <f t="shared" si="1"/>
        <v>5</v>
      </c>
      <c r="P5" s="23"/>
    </row>
    <row r="6" spans="1:16" x14ac:dyDescent="0.2">
      <c r="A6" s="1">
        <v>5</v>
      </c>
      <c r="B6" s="1" t="s">
        <v>74</v>
      </c>
      <c r="C6" s="23">
        <v>33</v>
      </c>
      <c r="D6" s="23">
        <v>1</v>
      </c>
      <c r="F6" s="23">
        <v>3</v>
      </c>
      <c r="G6" s="23">
        <v>2</v>
      </c>
      <c r="H6" s="23">
        <v>3</v>
      </c>
      <c r="J6" s="1">
        <f t="shared" si="0"/>
        <v>42</v>
      </c>
      <c r="K6" s="23">
        <f t="shared" si="1"/>
        <v>5</v>
      </c>
      <c r="P6" s="23"/>
    </row>
    <row r="7" spans="1:16" x14ac:dyDescent="0.2">
      <c r="A7" s="1">
        <v>6</v>
      </c>
      <c r="B7" s="1" t="s">
        <v>75</v>
      </c>
      <c r="C7" s="23">
        <v>34</v>
      </c>
      <c r="D7" s="23">
        <v>1</v>
      </c>
      <c r="F7" s="23">
        <v>4</v>
      </c>
      <c r="G7" s="23">
        <v>1</v>
      </c>
      <c r="H7" s="23">
        <v>2</v>
      </c>
      <c r="J7" s="1">
        <f t="shared" si="0"/>
        <v>42</v>
      </c>
      <c r="K7" s="23">
        <f t="shared" si="1"/>
        <v>5</v>
      </c>
      <c r="P7" s="23"/>
    </row>
    <row r="8" spans="1:16" x14ac:dyDescent="0.2">
      <c r="A8" s="1">
        <v>7</v>
      </c>
      <c r="B8" s="1" t="s">
        <v>76</v>
      </c>
      <c r="C8" s="23">
        <v>33</v>
      </c>
      <c r="D8" s="23">
        <v>1</v>
      </c>
      <c r="E8" s="23">
        <v>2</v>
      </c>
      <c r="F8" s="23">
        <v>4</v>
      </c>
      <c r="H8" s="23">
        <v>2</v>
      </c>
      <c r="J8" s="1">
        <f t="shared" si="0"/>
        <v>42</v>
      </c>
      <c r="K8" s="23">
        <f t="shared" si="1"/>
        <v>5</v>
      </c>
      <c r="P8" s="23"/>
    </row>
    <row r="9" spans="1:16" x14ac:dyDescent="0.2">
      <c r="A9" s="1">
        <v>8</v>
      </c>
      <c r="B9" s="1" t="s">
        <v>77</v>
      </c>
      <c r="C9" s="23">
        <v>32</v>
      </c>
      <c r="D9" s="23">
        <v>3</v>
      </c>
      <c r="F9" s="23">
        <v>4</v>
      </c>
      <c r="H9" s="23">
        <v>3</v>
      </c>
      <c r="J9" s="1">
        <f t="shared" si="0"/>
        <v>42</v>
      </c>
      <c r="K9" s="23">
        <f t="shared" si="1"/>
        <v>4</v>
      </c>
      <c r="P9" s="23"/>
    </row>
    <row r="10" spans="1:16" x14ac:dyDescent="0.2">
      <c r="A10" s="1">
        <v>9</v>
      </c>
      <c r="B10" s="1" t="s">
        <v>78</v>
      </c>
      <c r="C10" s="23">
        <v>31</v>
      </c>
      <c r="D10" s="23">
        <v>1</v>
      </c>
      <c r="F10" s="23">
        <v>4</v>
      </c>
      <c r="G10" s="23">
        <v>2</v>
      </c>
      <c r="H10" s="23">
        <v>4</v>
      </c>
      <c r="J10" s="1">
        <f t="shared" si="0"/>
        <v>42</v>
      </c>
      <c r="K10" s="23">
        <f t="shared" si="1"/>
        <v>5</v>
      </c>
      <c r="P10" s="23"/>
    </row>
    <row r="11" spans="1:16" x14ac:dyDescent="0.2">
      <c r="A11" s="1">
        <v>10</v>
      </c>
      <c r="B11" s="1" t="s">
        <v>79</v>
      </c>
      <c r="C11" s="23">
        <v>35</v>
      </c>
      <c r="D11" s="23">
        <v>1</v>
      </c>
      <c r="F11" s="23">
        <v>1</v>
      </c>
      <c r="G11" s="23">
        <v>2</v>
      </c>
      <c r="H11" s="23">
        <v>3</v>
      </c>
      <c r="J11" s="1">
        <f t="shared" si="0"/>
        <v>42</v>
      </c>
      <c r="K11" s="23">
        <f t="shared" si="1"/>
        <v>5</v>
      </c>
      <c r="P11" s="23"/>
    </row>
    <row r="12" spans="1:16" x14ac:dyDescent="0.2">
      <c r="A12" s="1">
        <v>11</v>
      </c>
      <c r="B12" s="1" t="s">
        <v>80</v>
      </c>
      <c r="C12" s="23">
        <v>31</v>
      </c>
      <c r="D12" s="23">
        <v>1</v>
      </c>
      <c r="E12" s="23">
        <v>1</v>
      </c>
      <c r="F12" s="23">
        <v>6</v>
      </c>
      <c r="G12" s="23">
        <v>1</v>
      </c>
      <c r="H12" s="23">
        <v>2</v>
      </c>
      <c r="J12" s="1">
        <f t="shared" si="0"/>
        <v>42</v>
      </c>
      <c r="K12" s="23">
        <f t="shared" si="1"/>
        <v>6</v>
      </c>
      <c r="P12" s="23"/>
    </row>
    <row r="13" spans="1:16" x14ac:dyDescent="0.2">
      <c r="A13" s="1">
        <v>12</v>
      </c>
      <c r="B13" s="1" t="s">
        <v>81</v>
      </c>
      <c r="C13" s="23">
        <v>35</v>
      </c>
      <c r="D13" s="23">
        <v>2</v>
      </c>
      <c r="E13" s="23">
        <v>2</v>
      </c>
      <c r="F13" s="23">
        <v>1</v>
      </c>
      <c r="H13" s="23">
        <v>2</v>
      </c>
      <c r="J13" s="1">
        <f t="shared" si="0"/>
        <v>42</v>
      </c>
      <c r="K13" s="23">
        <f t="shared" si="1"/>
        <v>5</v>
      </c>
      <c r="P13" s="23"/>
    </row>
    <row r="14" spans="1:16" x14ac:dyDescent="0.2">
      <c r="A14" s="1">
        <v>13</v>
      </c>
      <c r="B14" s="1" t="s">
        <v>82</v>
      </c>
      <c r="C14" s="23">
        <v>34</v>
      </c>
      <c r="D14" s="23">
        <v>1</v>
      </c>
      <c r="F14" s="23">
        <v>2</v>
      </c>
      <c r="H14" s="23">
        <v>4</v>
      </c>
      <c r="I14" s="23">
        <v>1</v>
      </c>
      <c r="J14" s="1">
        <f t="shared" si="0"/>
        <v>42</v>
      </c>
      <c r="K14" s="23">
        <f t="shared" si="1"/>
        <v>5</v>
      </c>
      <c r="P14" s="23"/>
    </row>
    <row r="15" spans="1:16" x14ac:dyDescent="0.2">
      <c r="A15" s="1">
        <v>14</v>
      </c>
      <c r="B15" s="1" t="s">
        <v>83</v>
      </c>
      <c r="C15" s="23">
        <v>34</v>
      </c>
      <c r="D15" s="23">
        <v>1</v>
      </c>
      <c r="F15" s="23">
        <v>1</v>
      </c>
      <c r="G15" s="23">
        <v>1</v>
      </c>
      <c r="H15" s="23">
        <v>5</v>
      </c>
      <c r="J15" s="1">
        <f t="shared" si="0"/>
        <v>42</v>
      </c>
      <c r="K15" s="23">
        <f t="shared" si="1"/>
        <v>5</v>
      </c>
      <c r="P15" s="23"/>
    </row>
    <row r="16" spans="1:16" x14ac:dyDescent="0.2">
      <c r="A16" s="1">
        <v>15</v>
      </c>
      <c r="B16" s="1" t="s">
        <v>84</v>
      </c>
      <c r="C16" s="23">
        <v>34</v>
      </c>
      <c r="D16" s="23">
        <v>1</v>
      </c>
      <c r="E16" s="23">
        <v>1</v>
      </c>
      <c r="F16" s="23">
        <v>2</v>
      </c>
      <c r="G16" s="23">
        <v>2</v>
      </c>
      <c r="H16" s="23">
        <v>6</v>
      </c>
      <c r="J16" s="1">
        <f t="shared" si="0"/>
        <v>46</v>
      </c>
      <c r="K16" s="23">
        <f t="shared" si="1"/>
        <v>6</v>
      </c>
      <c r="P16" s="23"/>
    </row>
    <row r="17" spans="1:16" x14ac:dyDescent="0.2">
      <c r="A17" s="1">
        <v>16</v>
      </c>
      <c r="B17" s="1" t="s">
        <v>85</v>
      </c>
      <c r="C17" s="23">
        <v>34</v>
      </c>
      <c r="D17" s="23">
        <v>1</v>
      </c>
      <c r="E17" s="23">
        <v>1</v>
      </c>
      <c r="F17" s="23">
        <v>1</v>
      </c>
      <c r="G17" s="23">
        <v>3</v>
      </c>
      <c r="H17" s="23">
        <v>6</v>
      </c>
      <c r="J17" s="1">
        <f t="shared" si="0"/>
        <v>46</v>
      </c>
      <c r="K17" s="23">
        <f t="shared" si="1"/>
        <v>6</v>
      </c>
      <c r="P17" s="23"/>
    </row>
    <row r="18" spans="1:16" x14ac:dyDescent="0.2">
      <c r="A18" s="1">
        <v>17</v>
      </c>
      <c r="B18" s="1" t="s">
        <v>86</v>
      </c>
      <c r="C18" s="23">
        <v>34</v>
      </c>
      <c r="D18" s="23">
        <v>2</v>
      </c>
      <c r="E18" s="23">
        <v>1</v>
      </c>
      <c r="F18" s="23">
        <v>1</v>
      </c>
      <c r="G18" s="23">
        <v>2</v>
      </c>
      <c r="H18" s="23">
        <v>6</v>
      </c>
      <c r="J18" s="1">
        <f t="shared" si="0"/>
        <v>46</v>
      </c>
      <c r="K18" s="23">
        <f t="shared" si="1"/>
        <v>6</v>
      </c>
      <c r="P18" s="23"/>
    </row>
    <row r="19" spans="1:16" x14ac:dyDescent="0.2">
      <c r="A19" s="1">
        <v>18</v>
      </c>
      <c r="B19" s="1" t="s">
        <v>87</v>
      </c>
      <c r="C19" s="23">
        <v>33</v>
      </c>
      <c r="D19" s="23">
        <v>3</v>
      </c>
      <c r="F19" s="23">
        <v>2</v>
      </c>
      <c r="G19" s="23">
        <v>1</v>
      </c>
      <c r="H19" s="23">
        <v>7</v>
      </c>
      <c r="J19" s="1">
        <f t="shared" si="0"/>
        <v>46</v>
      </c>
      <c r="K19" s="23">
        <f t="shared" si="1"/>
        <v>5</v>
      </c>
      <c r="P19" s="23"/>
    </row>
    <row r="20" spans="1:16" x14ac:dyDescent="0.2">
      <c r="A20" s="1">
        <v>19</v>
      </c>
      <c r="B20" s="1" t="s">
        <v>88</v>
      </c>
      <c r="C20" s="23">
        <v>29</v>
      </c>
      <c r="D20" s="23">
        <v>1</v>
      </c>
      <c r="E20" s="23">
        <v>1</v>
      </c>
      <c r="F20" s="23">
        <v>4</v>
      </c>
      <c r="G20" s="23">
        <v>1</v>
      </c>
      <c r="H20" s="23">
        <v>10</v>
      </c>
      <c r="J20" s="1">
        <f t="shared" si="0"/>
        <v>46</v>
      </c>
      <c r="K20" s="23">
        <f t="shared" si="1"/>
        <v>6</v>
      </c>
      <c r="P20" s="23"/>
    </row>
    <row r="21" spans="1:16" x14ac:dyDescent="0.2">
      <c r="A21" s="1">
        <v>20</v>
      </c>
      <c r="B21" s="1" t="s">
        <v>89</v>
      </c>
      <c r="C21" s="23">
        <v>32</v>
      </c>
      <c r="D21" s="23">
        <v>1</v>
      </c>
      <c r="F21" s="23">
        <v>3</v>
      </c>
      <c r="G21" s="23">
        <v>1</v>
      </c>
      <c r="H21" s="23">
        <v>9</v>
      </c>
      <c r="J21" s="1">
        <f t="shared" si="0"/>
        <v>46</v>
      </c>
      <c r="K21" s="23">
        <f t="shared" si="1"/>
        <v>5</v>
      </c>
      <c r="P21" s="23"/>
    </row>
    <row r="22" spans="1:16" x14ac:dyDescent="0.2">
      <c r="A22" s="1">
        <v>21</v>
      </c>
      <c r="B22" s="1" t="s">
        <v>90</v>
      </c>
      <c r="C22" s="23">
        <v>35</v>
      </c>
      <c r="D22" s="23">
        <v>1</v>
      </c>
      <c r="F22" s="23">
        <v>3</v>
      </c>
      <c r="G22" s="23">
        <v>2</v>
      </c>
      <c r="H22" s="23">
        <v>5</v>
      </c>
      <c r="J22" s="1">
        <f t="shared" si="0"/>
        <v>46</v>
      </c>
      <c r="K22" s="23">
        <f t="shared" si="1"/>
        <v>5</v>
      </c>
      <c r="P22" s="23"/>
    </row>
    <row r="23" spans="1:16" x14ac:dyDescent="0.2">
      <c r="A23" s="1">
        <v>22</v>
      </c>
      <c r="B23" s="1" t="s">
        <v>91</v>
      </c>
      <c r="C23" s="23">
        <v>30</v>
      </c>
      <c r="D23" s="23">
        <v>1</v>
      </c>
      <c r="E23" s="23">
        <v>2</v>
      </c>
      <c r="F23" s="23">
        <v>6</v>
      </c>
      <c r="G23" s="23">
        <v>1</v>
      </c>
      <c r="H23" s="23">
        <v>6</v>
      </c>
      <c r="J23" s="1">
        <f t="shared" si="0"/>
        <v>46</v>
      </c>
      <c r="K23" s="23">
        <f t="shared" si="1"/>
        <v>6</v>
      </c>
      <c r="P23" s="23"/>
    </row>
    <row r="24" spans="1:16" x14ac:dyDescent="0.2">
      <c r="A24" s="1">
        <v>23</v>
      </c>
      <c r="B24" s="1" t="s">
        <v>92</v>
      </c>
      <c r="C24" s="23">
        <v>32</v>
      </c>
      <c r="D24" s="23">
        <v>2</v>
      </c>
      <c r="E24" s="23">
        <v>1</v>
      </c>
      <c r="F24" s="23">
        <v>4</v>
      </c>
      <c r="G24" s="23">
        <v>1</v>
      </c>
      <c r="H24" s="23">
        <v>6</v>
      </c>
      <c r="J24" s="1">
        <f t="shared" si="0"/>
        <v>46</v>
      </c>
      <c r="K24" s="23">
        <f t="shared" si="1"/>
        <v>6</v>
      </c>
      <c r="P24" s="23"/>
    </row>
    <row r="25" spans="1:16" x14ac:dyDescent="0.2">
      <c r="A25" s="1">
        <v>24</v>
      </c>
      <c r="B25" s="1" t="s">
        <v>93</v>
      </c>
      <c r="C25" s="23">
        <v>32</v>
      </c>
      <c r="D25" s="23">
        <v>2</v>
      </c>
      <c r="F25" s="23">
        <v>3</v>
      </c>
      <c r="G25" s="23">
        <v>1</v>
      </c>
      <c r="H25" s="23">
        <v>8</v>
      </c>
      <c r="J25" s="1">
        <f t="shared" si="0"/>
        <v>46</v>
      </c>
      <c r="K25" s="23">
        <f t="shared" si="1"/>
        <v>5</v>
      </c>
      <c r="P25" s="23"/>
    </row>
    <row r="26" spans="1:16" x14ac:dyDescent="0.2">
      <c r="A26" s="1">
        <v>25</v>
      </c>
      <c r="B26" s="1" t="s">
        <v>94</v>
      </c>
      <c r="C26" s="23">
        <v>30</v>
      </c>
      <c r="D26" s="23">
        <v>2</v>
      </c>
      <c r="F26" s="23">
        <v>3</v>
      </c>
      <c r="G26" s="23">
        <v>1</v>
      </c>
      <c r="H26" s="23">
        <v>10</v>
      </c>
      <c r="J26" s="1">
        <f t="shared" si="0"/>
        <v>46</v>
      </c>
      <c r="K26" s="23">
        <f t="shared" si="1"/>
        <v>5</v>
      </c>
      <c r="P26" s="23"/>
    </row>
    <row r="27" spans="1:16" x14ac:dyDescent="0.2">
      <c r="A27" s="1">
        <v>26</v>
      </c>
      <c r="B27" s="1" t="s">
        <v>95</v>
      </c>
      <c r="C27" s="23">
        <v>28</v>
      </c>
      <c r="D27" s="23">
        <v>3</v>
      </c>
      <c r="F27" s="23">
        <v>4</v>
      </c>
      <c r="G27" s="23">
        <v>2</v>
      </c>
      <c r="H27" s="23">
        <v>7</v>
      </c>
      <c r="J27" s="1">
        <f t="shared" si="0"/>
        <v>44</v>
      </c>
      <c r="K27" s="23">
        <f t="shared" si="1"/>
        <v>5</v>
      </c>
      <c r="P27" s="23"/>
    </row>
    <row r="28" spans="1:16" x14ac:dyDescent="0.2">
      <c r="A28" s="1">
        <v>27</v>
      </c>
      <c r="B28" s="1" t="s">
        <v>96</v>
      </c>
      <c r="C28" s="23">
        <v>22</v>
      </c>
      <c r="D28" s="23">
        <v>6</v>
      </c>
      <c r="F28" s="23">
        <v>4</v>
      </c>
      <c r="G28" s="23">
        <v>1</v>
      </c>
      <c r="H28" s="23">
        <v>13</v>
      </c>
      <c r="J28" s="1">
        <f t="shared" si="0"/>
        <v>46</v>
      </c>
      <c r="K28" s="23">
        <f t="shared" si="1"/>
        <v>5</v>
      </c>
      <c r="P28" s="23"/>
    </row>
    <row r="29" spans="1:16" x14ac:dyDescent="0.2">
      <c r="A29" s="1">
        <v>28</v>
      </c>
      <c r="B29" s="1" t="s">
        <v>97</v>
      </c>
      <c r="C29" s="23">
        <v>27</v>
      </c>
      <c r="D29" s="23">
        <v>7</v>
      </c>
      <c r="E29" s="23">
        <v>1</v>
      </c>
      <c r="G29" s="23">
        <v>1</v>
      </c>
      <c r="H29" s="23">
        <v>10</v>
      </c>
      <c r="J29" s="1">
        <f t="shared" si="0"/>
        <v>46</v>
      </c>
      <c r="K29" s="23">
        <f t="shared" si="1"/>
        <v>5</v>
      </c>
      <c r="P29" s="23"/>
    </row>
    <row r="30" spans="1:16" x14ac:dyDescent="0.2">
      <c r="A30" s="1">
        <v>29</v>
      </c>
      <c r="B30" s="1" t="s">
        <v>98</v>
      </c>
      <c r="C30" s="23">
        <v>26</v>
      </c>
      <c r="D30" s="23">
        <v>8</v>
      </c>
      <c r="F30" s="23">
        <v>1</v>
      </c>
      <c r="G30" s="23">
        <v>2</v>
      </c>
      <c r="H30" s="23">
        <v>9</v>
      </c>
      <c r="J30" s="1">
        <f t="shared" si="0"/>
        <v>46</v>
      </c>
      <c r="K30" s="23">
        <f t="shared" si="1"/>
        <v>5</v>
      </c>
      <c r="P30" s="23"/>
    </row>
    <row r="31" spans="1:16" x14ac:dyDescent="0.2">
      <c r="A31" s="1">
        <v>30</v>
      </c>
      <c r="B31" s="1" t="s">
        <v>99</v>
      </c>
      <c r="C31" s="23">
        <v>23</v>
      </c>
      <c r="D31" s="23">
        <v>12</v>
      </c>
      <c r="G31" s="23">
        <v>4</v>
      </c>
      <c r="H31" s="23">
        <v>7</v>
      </c>
      <c r="J31" s="1">
        <f t="shared" si="0"/>
        <v>46</v>
      </c>
      <c r="K31" s="23">
        <f t="shared" si="1"/>
        <v>4</v>
      </c>
      <c r="P31" s="23"/>
    </row>
    <row r="32" spans="1:16" x14ac:dyDescent="0.2">
      <c r="A32" s="1">
        <v>31</v>
      </c>
      <c r="B32" s="1" t="s">
        <v>100</v>
      </c>
      <c r="C32" s="23">
        <v>22</v>
      </c>
      <c r="D32" s="23">
        <v>14</v>
      </c>
      <c r="G32" s="23">
        <v>3</v>
      </c>
      <c r="H32" s="23">
        <v>6</v>
      </c>
      <c r="I32" s="23">
        <v>1</v>
      </c>
      <c r="J32" s="1">
        <f t="shared" si="0"/>
        <v>46</v>
      </c>
      <c r="K32" s="23">
        <f t="shared" si="1"/>
        <v>5</v>
      </c>
      <c r="P32" s="23"/>
    </row>
    <row r="33" spans="1:16" x14ac:dyDescent="0.2">
      <c r="A33" s="1">
        <v>32</v>
      </c>
      <c r="B33" s="1" t="s">
        <v>101</v>
      </c>
      <c r="C33" s="23">
        <v>35</v>
      </c>
      <c r="D33" s="23">
        <v>2</v>
      </c>
      <c r="G33" s="23">
        <v>4</v>
      </c>
      <c r="H33" s="23">
        <v>5</v>
      </c>
      <c r="J33" s="1">
        <f t="shared" si="0"/>
        <v>46</v>
      </c>
      <c r="K33" s="23">
        <f t="shared" si="1"/>
        <v>4</v>
      </c>
      <c r="P33" s="23"/>
    </row>
    <row r="34" spans="1:16" x14ac:dyDescent="0.2">
      <c r="A34" s="1">
        <v>33</v>
      </c>
      <c r="B34" s="1" t="s">
        <v>102</v>
      </c>
      <c r="C34" s="23">
        <v>25</v>
      </c>
      <c r="D34" s="23">
        <v>5</v>
      </c>
      <c r="F34" s="23">
        <v>6</v>
      </c>
      <c r="G34" s="23">
        <v>1</v>
      </c>
      <c r="H34" s="23">
        <v>9</v>
      </c>
      <c r="J34" s="1">
        <f t="shared" si="0"/>
        <v>46</v>
      </c>
      <c r="K34" s="23">
        <f t="shared" si="1"/>
        <v>5</v>
      </c>
      <c r="P34" s="23"/>
    </row>
    <row r="35" spans="1:16" x14ac:dyDescent="0.2">
      <c r="A35" s="1">
        <v>34</v>
      </c>
      <c r="B35" s="1" t="s">
        <v>103</v>
      </c>
      <c r="C35" s="23">
        <v>26</v>
      </c>
      <c r="D35" s="23">
        <v>6</v>
      </c>
      <c r="F35" s="23">
        <v>3</v>
      </c>
      <c r="G35" s="23">
        <v>3</v>
      </c>
      <c r="H35" s="23">
        <v>8</v>
      </c>
      <c r="J35" s="1">
        <f t="shared" si="0"/>
        <v>46</v>
      </c>
      <c r="K35" s="23">
        <f t="shared" si="1"/>
        <v>5</v>
      </c>
      <c r="P35" s="23"/>
    </row>
    <row r="36" spans="1:16" x14ac:dyDescent="0.2">
      <c r="A36" s="1">
        <v>35</v>
      </c>
      <c r="B36" s="1" t="s">
        <v>104</v>
      </c>
      <c r="C36" s="23">
        <v>24</v>
      </c>
      <c r="D36" s="23">
        <v>11</v>
      </c>
      <c r="F36" s="23">
        <v>1</v>
      </c>
      <c r="G36" s="23">
        <v>1</v>
      </c>
      <c r="H36" s="23">
        <v>9</v>
      </c>
      <c r="J36" s="1">
        <f t="shared" si="0"/>
        <v>46</v>
      </c>
      <c r="K36" s="23">
        <f t="shared" si="1"/>
        <v>5</v>
      </c>
      <c r="P36" s="23"/>
    </row>
    <row r="37" spans="1:16" x14ac:dyDescent="0.2">
      <c r="A37" s="1">
        <v>36</v>
      </c>
      <c r="B37" s="1" t="s">
        <v>105</v>
      </c>
      <c r="C37" s="23">
        <v>32</v>
      </c>
      <c r="D37" s="23">
        <v>4</v>
      </c>
      <c r="F37" s="23">
        <v>1</v>
      </c>
      <c r="G37" s="23">
        <v>3</v>
      </c>
      <c r="H37" s="23">
        <v>6</v>
      </c>
      <c r="J37" s="1">
        <f t="shared" si="0"/>
        <v>46</v>
      </c>
      <c r="K37" s="23">
        <f t="shared" si="1"/>
        <v>5</v>
      </c>
      <c r="P37" s="23"/>
    </row>
    <row r="38" spans="1:16" x14ac:dyDescent="0.2">
      <c r="A38" s="1">
        <v>37</v>
      </c>
      <c r="B38" s="1" t="s">
        <v>106</v>
      </c>
      <c r="C38" s="23">
        <v>33</v>
      </c>
      <c r="D38" s="23">
        <v>2</v>
      </c>
      <c r="G38" s="23">
        <v>4</v>
      </c>
      <c r="H38" s="23">
        <v>7</v>
      </c>
      <c r="J38" s="1">
        <f t="shared" si="0"/>
        <v>46</v>
      </c>
      <c r="K38" s="23">
        <f t="shared" si="1"/>
        <v>4</v>
      </c>
      <c r="P38" s="23"/>
    </row>
    <row r="39" spans="1:16" x14ac:dyDescent="0.2">
      <c r="A39" s="1">
        <v>38</v>
      </c>
      <c r="B39" s="1" t="s">
        <v>107</v>
      </c>
      <c r="C39" s="23">
        <v>25</v>
      </c>
      <c r="D39" s="23">
        <v>3</v>
      </c>
      <c r="F39" s="23">
        <v>6</v>
      </c>
      <c r="G39" s="23">
        <v>4</v>
      </c>
      <c r="H39" s="23">
        <v>4</v>
      </c>
      <c r="I39" s="23">
        <v>4</v>
      </c>
      <c r="J39" s="1">
        <f t="shared" si="0"/>
        <v>46</v>
      </c>
      <c r="K39" s="23">
        <f t="shared" si="1"/>
        <v>6</v>
      </c>
      <c r="P39" s="23"/>
    </row>
    <row r="40" spans="1:16" x14ac:dyDescent="0.2">
      <c r="A40" s="1">
        <v>39</v>
      </c>
      <c r="B40" s="1" t="s">
        <v>108</v>
      </c>
      <c r="C40" s="23">
        <v>31</v>
      </c>
      <c r="D40" s="23">
        <v>4</v>
      </c>
      <c r="E40" s="23">
        <v>1</v>
      </c>
      <c r="F40" s="23">
        <v>1</v>
      </c>
      <c r="G40" s="23">
        <v>4</v>
      </c>
      <c r="H40" s="23">
        <v>1</v>
      </c>
      <c r="J40" s="1">
        <f t="shared" si="0"/>
        <v>42</v>
      </c>
      <c r="K40" s="23">
        <f t="shared" si="1"/>
        <v>6</v>
      </c>
      <c r="P40" s="23"/>
    </row>
    <row r="41" spans="1:16" x14ac:dyDescent="0.2">
      <c r="A41" s="1">
        <v>40</v>
      </c>
      <c r="B41" s="1" t="s">
        <v>109</v>
      </c>
      <c r="C41" s="23">
        <v>34</v>
      </c>
      <c r="D41" s="23">
        <v>1</v>
      </c>
      <c r="G41" s="23">
        <v>6</v>
      </c>
      <c r="H41" s="23">
        <v>1</v>
      </c>
      <c r="J41" s="1">
        <f t="shared" si="0"/>
        <v>42</v>
      </c>
      <c r="K41" s="23">
        <f t="shared" si="1"/>
        <v>4</v>
      </c>
      <c r="P41" s="23"/>
    </row>
    <row r="42" spans="1:16" x14ac:dyDescent="0.2">
      <c r="A42" s="1">
        <v>41</v>
      </c>
      <c r="B42" s="1" t="s">
        <v>110</v>
      </c>
      <c r="C42" s="23">
        <v>32</v>
      </c>
      <c r="F42" s="23">
        <v>1</v>
      </c>
      <c r="G42" s="23">
        <v>8</v>
      </c>
      <c r="H42" s="23">
        <v>5</v>
      </c>
      <c r="J42" s="1">
        <f t="shared" si="0"/>
        <v>46</v>
      </c>
      <c r="K42" s="23">
        <f t="shared" si="1"/>
        <v>4</v>
      </c>
      <c r="P42" s="23"/>
    </row>
    <row r="43" spans="1:16" x14ac:dyDescent="0.2">
      <c r="A43" s="1">
        <v>42</v>
      </c>
      <c r="B43" s="1" t="s">
        <v>111</v>
      </c>
      <c r="C43" s="23">
        <v>19</v>
      </c>
      <c r="D43" s="23">
        <v>10</v>
      </c>
      <c r="F43" s="23">
        <v>2</v>
      </c>
      <c r="G43" s="23">
        <v>10</v>
      </c>
      <c r="H43" s="23">
        <v>5</v>
      </c>
      <c r="J43" s="1">
        <f t="shared" si="0"/>
        <v>46</v>
      </c>
      <c r="K43" s="23">
        <f t="shared" si="1"/>
        <v>5</v>
      </c>
      <c r="P43" s="23"/>
    </row>
    <row r="44" spans="1:16" x14ac:dyDescent="0.2">
      <c r="A44" s="1">
        <v>43</v>
      </c>
      <c r="B44" s="1" t="s">
        <v>112</v>
      </c>
      <c r="C44" s="23">
        <v>27</v>
      </c>
      <c r="D44" s="23">
        <v>3</v>
      </c>
      <c r="F44" s="23">
        <v>2</v>
      </c>
      <c r="G44" s="23">
        <v>11</v>
      </c>
      <c r="H44" s="23">
        <v>3</v>
      </c>
      <c r="J44" s="1">
        <f t="shared" si="0"/>
        <v>46</v>
      </c>
      <c r="K44" s="23">
        <f t="shared" si="1"/>
        <v>5</v>
      </c>
      <c r="P44" s="23"/>
    </row>
    <row r="45" spans="1:16" x14ac:dyDescent="0.2">
      <c r="A45" s="1">
        <v>44</v>
      </c>
      <c r="B45" s="1" t="s">
        <v>113</v>
      </c>
      <c r="C45" s="23">
        <v>30</v>
      </c>
      <c r="D45" s="23">
        <v>5</v>
      </c>
      <c r="F45" s="23">
        <v>2</v>
      </c>
      <c r="G45" s="23">
        <v>8</v>
      </c>
      <c r="H45" s="23">
        <v>1</v>
      </c>
      <c r="J45" s="1">
        <f t="shared" si="0"/>
        <v>46</v>
      </c>
      <c r="K45" s="23">
        <f t="shared" si="1"/>
        <v>5</v>
      </c>
      <c r="P45" s="23"/>
    </row>
    <row r="46" spans="1:16" x14ac:dyDescent="0.2">
      <c r="A46" s="1">
        <v>45</v>
      </c>
      <c r="B46" s="1" t="s">
        <v>114</v>
      </c>
      <c r="C46" s="23">
        <v>29</v>
      </c>
      <c r="D46" s="23">
        <v>5</v>
      </c>
      <c r="F46" s="23">
        <v>2</v>
      </c>
      <c r="G46" s="23">
        <v>8</v>
      </c>
      <c r="H46" s="23">
        <v>2</v>
      </c>
      <c r="J46" s="1">
        <f t="shared" si="0"/>
        <v>46</v>
      </c>
      <c r="K46" s="23">
        <f t="shared" si="1"/>
        <v>5</v>
      </c>
      <c r="P46" s="23"/>
    </row>
    <row r="47" spans="1:16" x14ac:dyDescent="0.2">
      <c r="A47" s="1">
        <v>46</v>
      </c>
      <c r="B47" s="1" t="s">
        <v>115</v>
      </c>
      <c r="C47" s="23">
        <v>19</v>
      </c>
      <c r="D47" s="23">
        <v>11</v>
      </c>
      <c r="F47" s="23">
        <v>1</v>
      </c>
      <c r="G47" s="23">
        <v>11</v>
      </c>
      <c r="H47" s="23">
        <v>3</v>
      </c>
      <c r="I47" s="23">
        <v>1</v>
      </c>
      <c r="J47" s="1">
        <f t="shared" si="0"/>
        <v>46</v>
      </c>
      <c r="K47" s="23">
        <f t="shared" si="1"/>
        <v>6</v>
      </c>
      <c r="P47" s="23"/>
    </row>
    <row r="48" spans="1:16" x14ac:dyDescent="0.2">
      <c r="A48" s="1">
        <v>47</v>
      </c>
      <c r="B48" s="1" t="s">
        <v>116</v>
      </c>
      <c r="C48" s="23">
        <v>28</v>
      </c>
      <c r="D48" s="23">
        <v>3</v>
      </c>
      <c r="G48" s="23">
        <v>9</v>
      </c>
      <c r="H48" s="23">
        <v>4</v>
      </c>
      <c r="I48" s="23">
        <v>2</v>
      </c>
      <c r="J48" s="1">
        <f t="shared" si="0"/>
        <v>46</v>
      </c>
      <c r="K48" s="23">
        <f t="shared" si="1"/>
        <v>5</v>
      </c>
      <c r="P48" s="23"/>
    </row>
    <row r="49" spans="1:16" x14ac:dyDescent="0.2">
      <c r="A49" s="1">
        <v>48</v>
      </c>
      <c r="B49" s="1" t="s">
        <v>117</v>
      </c>
      <c r="C49" s="23">
        <v>27</v>
      </c>
      <c r="D49" s="23">
        <v>2</v>
      </c>
      <c r="F49" s="23">
        <v>1</v>
      </c>
      <c r="G49" s="23">
        <v>9</v>
      </c>
      <c r="H49" s="23">
        <v>5</v>
      </c>
      <c r="I49" s="23">
        <v>2</v>
      </c>
      <c r="J49" s="1">
        <f t="shared" si="0"/>
        <v>46</v>
      </c>
      <c r="K49" s="23">
        <f t="shared" si="1"/>
        <v>6</v>
      </c>
      <c r="P49" s="23"/>
    </row>
    <row r="50" spans="1:16" x14ac:dyDescent="0.2">
      <c r="A50" s="1">
        <v>49</v>
      </c>
      <c r="B50" s="1" t="s">
        <v>118</v>
      </c>
      <c r="C50" s="23">
        <v>24</v>
      </c>
      <c r="D50" s="23">
        <v>2</v>
      </c>
      <c r="F50" s="23">
        <v>3</v>
      </c>
      <c r="G50" s="23">
        <v>11</v>
      </c>
      <c r="H50" s="23">
        <v>3</v>
      </c>
      <c r="I50" s="23">
        <v>3</v>
      </c>
      <c r="J50" s="1">
        <f t="shared" si="0"/>
        <v>46</v>
      </c>
      <c r="K50" s="23">
        <f t="shared" si="1"/>
        <v>6</v>
      </c>
      <c r="P50" s="23"/>
    </row>
    <row r="51" spans="1:16" x14ac:dyDescent="0.2">
      <c r="A51" s="1">
        <v>50</v>
      </c>
      <c r="B51" s="1" t="s">
        <v>119</v>
      </c>
      <c r="C51" s="23">
        <v>28</v>
      </c>
      <c r="D51" s="23">
        <v>2</v>
      </c>
      <c r="E51" s="23">
        <v>1</v>
      </c>
      <c r="F51" s="23">
        <v>3</v>
      </c>
      <c r="G51" s="23">
        <v>8</v>
      </c>
      <c r="H51" s="23">
        <v>2</v>
      </c>
      <c r="I51" s="23">
        <v>2</v>
      </c>
      <c r="J51" s="1">
        <f t="shared" si="0"/>
        <v>46</v>
      </c>
      <c r="K51" s="23">
        <f t="shared" si="1"/>
        <v>7</v>
      </c>
      <c r="P51" s="23"/>
    </row>
    <row r="52" spans="1:16" x14ac:dyDescent="0.2">
      <c r="A52" s="1">
        <v>51</v>
      </c>
      <c r="B52" s="1" t="s">
        <v>120</v>
      </c>
      <c r="C52" s="23">
        <v>31</v>
      </c>
      <c r="D52" s="23">
        <v>2</v>
      </c>
      <c r="E52" s="23">
        <v>1</v>
      </c>
      <c r="F52" s="23">
        <v>1</v>
      </c>
      <c r="G52" s="23">
        <v>9</v>
      </c>
      <c r="H52" s="23">
        <v>2</v>
      </c>
      <c r="J52" s="1">
        <f t="shared" si="0"/>
        <v>46</v>
      </c>
      <c r="K52" s="23">
        <f t="shared" si="1"/>
        <v>6</v>
      </c>
      <c r="P52" s="23"/>
    </row>
    <row r="53" spans="1:16" x14ac:dyDescent="0.2">
      <c r="A53" s="1">
        <v>52</v>
      </c>
      <c r="B53" s="1" t="s">
        <v>121</v>
      </c>
      <c r="C53" s="23">
        <v>31</v>
      </c>
      <c r="D53" s="23">
        <v>5</v>
      </c>
      <c r="F53" s="23">
        <v>2</v>
      </c>
      <c r="G53" s="23">
        <v>3</v>
      </c>
      <c r="H53" s="23">
        <v>5</v>
      </c>
      <c r="J53" s="1">
        <f t="shared" si="0"/>
        <v>46</v>
      </c>
      <c r="K53" s="23">
        <f t="shared" si="1"/>
        <v>5</v>
      </c>
      <c r="P53" s="23"/>
    </row>
    <row r="54" spans="1:16" x14ac:dyDescent="0.2">
      <c r="A54" s="1">
        <v>53</v>
      </c>
      <c r="B54" s="1" t="s">
        <v>122</v>
      </c>
      <c r="C54" s="23">
        <v>29</v>
      </c>
      <c r="D54" s="23">
        <v>4</v>
      </c>
      <c r="G54" s="23">
        <v>9</v>
      </c>
      <c r="H54" s="23">
        <v>4</v>
      </c>
      <c r="J54" s="1">
        <f t="shared" si="0"/>
        <v>46</v>
      </c>
      <c r="K54" s="23">
        <f t="shared" si="1"/>
        <v>4</v>
      </c>
      <c r="P54" s="23"/>
    </row>
    <row r="55" spans="1:16" x14ac:dyDescent="0.2">
      <c r="A55" s="1">
        <v>54</v>
      </c>
      <c r="B55" s="1" t="s">
        <v>123</v>
      </c>
      <c r="C55" s="23">
        <v>30</v>
      </c>
      <c r="D55" s="23">
        <v>4</v>
      </c>
      <c r="F55" s="23">
        <v>1</v>
      </c>
      <c r="G55" s="23">
        <v>8</v>
      </c>
      <c r="H55" s="23">
        <v>3</v>
      </c>
      <c r="J55" s="1">
        <f t="shared" si="0"/>
        <v>46</v>
      </c>
      <c r="K55" s="23">
        <f t="shared" si="1"/>
        <v>5</v>
      </c>
      <c r="P55" s="23"/>
    </row>
    <row r="56" spans="1:16" x14ac:dyDescent="0.2">
      <c r="A56" s="1">
        <v>55</v>
      </c>
      <c r="B56" s="1" t="s">
        <v>124</v>
      </c>
      <c r="C56" s="23">
        <v>28</v>
      </c>
      <c r="D56" s="23">
        <v>5</v>
      </c>
      <c r="G56" s="23">
        <v>12</v>
      </c>
      <c r="H56" s="23">
        <v>1</v>
      </c>
      <c r="J56" s="1">
        <f t="shared" si="0"/>
        <v>46</v>
      </c>
      <c r="K56" s="23">
        <f t="shared" si="1"/>
        <v>4</v>
      </c>
      <c r="P56" s="23"/>
    </row>
    <row r="57" spans="1:16" x14ac:dyDescent="0.2">
      <c r="A57" s="1">
        <v>56</v>
      </c>
      <c r="B57" s="1" t="s">
        <v>125</v>
      </c>
      <c r="C57" s="23">
        <v>28</v>
      </c>
      <c r="D57" s="23">
        <v>3</v>
      </c>
      <c r="E57" s="23">
        <v>1</v>
      </c>
      <c r="F57" s="23">
        <v>2</v>
      </c>
      <c r="G57" s="23">
        <v>7</v>
      </c>
      <c r="H57" s="23">
        <v>1</v>
      </c>
      <c r="J57" s="1">
        <f t="shared" si="0"/>
        <v>42</v>
      </c>
      <c r="K57" s="23">
        <f t="shared" si="1"/>
        <v>6</v>
      </c>
      <c r="P57" s="23"/>
    </row>
    <row r="58" spans="1:16" x14ac:dyDescent="0.2">
      <c r="A58" s="1">
        <v>57</v>
      </c>
      <c r="B58" s="1" t="s">
        <v>126</v>
      </c>
      <c r="C58" s="23">
        <v>28</v>
      </c>
      <c r="D58" s="23">
        <v>5</v>
      </c>
      <c r="G58" s="23">
        <v>8</v>
      </c>
      <c r="H58" s="23">
        <v>1</v>
      </c>
      <c r="J58" s="1">
        <f t="shared" si="0"/>
        <v>42</v>
      </c>
      <c r="K58" s="23">
        <f t="shared" si="1"/>
        <v>4</v>
      </c>
      <c r="P58" s="23"/>
    </row>
    <row r="59" spans="1:16" x14ac:dyDescent="0.2">
      <c r="A59" s="1">
        <v>58</v>
      </c>
      <c r="B59" s="1" t="s">
        <v>127</v>
      </c>
      <c r="C59" s="23">
        <v>35</v>
      </c>
      <c r="E59" s="23">
        <v>1</v>
      </c>
      <c r="G59" s="23">
        <v>7</v>
      </c>
      <c r="H59" s="23">
        <v>3</v>
      </c>
      <c r="J59" s="1">
        <f t="shared" si="0"/>
        <v>46</v>
      </c>
      <c r="K59" s="23">
        <f t="shared" si="1"/>
        <v>4</v>
      </c>
      <c r="P59" s="23"/>
    </row>
    <row r="60" spans="1:16" x14ac:dyDescent="0.2">
      <c r="A60" s="1">
        <v>59</v>
      </c>
      <c r="B60" s="1" t="s">
        <v>128</v>
      </c>
      <c r="C60" s="23">
        <v>31</v>
      </c>
      <c r="D60" s="23">
        <v>1</v>
      </c>
      <c r="F60" s="23">
        <v>2</v>
      </c>
      <c r="G60" s="23">
        <v>10</v>
      </c>
      <c r="H60" s="23">
        <v>2</v>
      </c>
      <c r="J60" s="1">
        <f t="shared" si="0"/>
        <v>46</v>
      </c>
      <c r="K60" s="23">
        <f t="shared" si="1"/>
        <v>5</v>
      </c>
      <c r="P60" s="23"/>
    </row>
    <row r="61" spans="1:16" x14ac:dyDescent="0.2">
      <c r="A61" s="1">
        <v>60</v>
      </c>
      <c r="B61" s="1" t="s">
        <v>129</v>
      </c>
      <c r="C61" s="23">
        <v>31</v>
      </c>
      <c r="E61" s="23">
        <v>1</v>
      </c>
      <c r="G61" s="23">
        <v>12</v>
      </c>
      <c r="H61" s="23">
        <v>1</v>
      </c>
      <c r="I61" s="23">
        <v>1</v>
      </c>
      <c r="J61" s="1">
        <f t="shared" si="0"/>
        <v>46</v>
      </c>
      <c r="K61" s="23">
        <f t="shared" si="1"/>
        <v>5</v>
      </c>
      <c r="P61" s="23"/>
    </row>
    <row r="62" spans="1:16" x14ac:dyDescent="0.2">
      <c r="A62" s="1">
        <v>61</v>
      </c>
      <c r="B62" s="1" t="s">
        <v>51</v>
      </c>
      <c r="C62" s="23">
        <v>34</v>
      </c>
      <c r="D62" s="23">
        <v>1</v>
      </c>
      <c r="F62" s="23">
        <v>1</v>
      </c>
      <c r="G62" s="23">
        <v>10</v>
      </c>
      <c r="J62" s="1">
        <f t="shared" si="0"/>
        <v>46</v>
      </c>
      <c r="K62" s="23">
        <f t="shared" si="1"/>
        <v>4</v>
      </c>
      <c r="P62" s="23"/>
    </row>
    <row r="63" spans="1:16" x14ac:dyDescent="0.2">
      <c r="A63" s="1">
        <v>62</v>
      </c>
      <c r="B63" s="1" t="s">
        <v>53</v>
      </c>
      <c r="C63" s="23">
        <v>32</v>
      </c>
      <c r="D63" s="23">
        <v>3</v>
      </c>
      <c r="G63" s="23">
        <v>9</v>
      </c>
      <c r="H63" s="23">
        <v>1</v>
      </c>
      <c r="I63" s="23">
        <v>1</v>
      </c>
      <c r="J63" s="1">
        <f t="shared" si="0"/>
        <v>46</v>
      </c>
      <c r="K63" s="23">
        <f t="shared" si="1"/>
        <v>5</v>
      </c>
      <c r="P63" s="23"/>
    </row>
    <row r="64" spans="1:16" x14ac:dyDescent="0.2">
      <c r="A64" s="1">
        <v>63</v>
      </c>
      <c r="B64" s="1" t="s">
        <v>130</v>
      </c>
      <c r="C64" s="23">
        <v>35</v>
      </c>
      <c r="D64" s="23">
        <v>1</v>
      </c>
      <c r="F64" s="23">
        <v>2</v>
      </c>
      <c r="G64" s="23">
        <v>6</v>
      </c>
      <c r="H64" s="23">
        <v>1</v>
      </c>
      <c r="I64" s="23">
        <v>1</v>
      </c>
      <c r="J64" s="1">
        <f t="shared" ref="J64:J69" si="2">SUM(C64:I64)</f>
        <v>46</v>
      </c>
      <c r="K64" s="23">
        <f t="shared" ref="K64:K69" si="3">COUNT(C64:I64)</f>
        <v>6</v>
      </c>
      <c r="P64" s="23"/>
    </row>
    <row r="65" spans="1:16" x14ac:dyDescent="0.2">
      <c r="A65" s="1">
        <v>64</v>
      </c>
      <c r="B65" s="1" t="s">
        <v>157</v>
      </c>
      <c r="C65" s="23">
        <v>33</v>
      </c>
      <c r="D65" s="23">
        <v>2</v>
      </c>
      <c r="G65" s="23">
        <v>8</v>
      </c>
      <c r="H65" s="23">
        <v>2</v>
      </c>
      <c r="I65" s="23">
        <v>1</v>
      </c>
      <c r="J65" s="1">
        <f t="shared" si="2"/>
        <v>46</v>
      </c>
      <c r="K65" s="23">
        <f t="shared" si="3"/>
        <v>5</v>
      </c>
      <c r="P65" s="23"/>
    </row>
    <row r="66" spans="1:16" x14ac:dyDescent="0.2">
      <c r="A66" s="1">
        <v>65</v>
      </c>
      <c r="B66" s="1" t="s">
        <v>161</v>
      </c>
      <c r="C66" s="23">
        <v>30</v>
      </c>
      <c r="D66" s="23">
        <v>3</v>
      </c>
      <c r="G66" s="23">
        <v>11</v>
      </c>
      <c r="H66" s="23">
        <v>2</v>
      </c>
      <c r="J66" s="1">
        <f t="shared" si="2"/>
        <v>46</v>
      </c>
      <c r="K66" s="23">
        <f t="shared" si="3"/>
        <v>4</v>
      </c>
      <c r="P66" s="23"/>
    </row>
    <row r="67" spans="1:16" x14ac:dyDescent="0.2">
      <c r="A67" s="1">
        <v>66</v>
      </c>
      <c r="B67" s="1" t="s">
        <v>180</v>
      </c>
      <c r="C67" s="23">
        <v>29</v>
      </c>
      <c r="D67" s="23">
        <v>1</v>
      </c>
      <c r="G67" s="23">
        <v>15</v>
      </c>
      <c r="H67" s="23">
        <v>1</v>
      </c>
      <c r="J67" s="1">
        <f t="shared" si="2"/>
        <v>46</v>
      </c>
      <c r="K67" s="23">
        <f t="shared" si="3"/>
        <v>4</v>
      </c>
      <c r="P67" s="23"/>
    </row>
    <row r="68" spans="1:16" x14ac:dyDescent="0.2">
      <c r="A68" s="1">
        <v>67</v>
      </c>
      <c r="B68" s="1" t="s">
        <v>181</v>
      </c>
      <c r="C68" s="23">
        <v>31</v>
      </c>
      <c r="D68" s="23">
        <v>3</v>
      </c>
      <c r="E68" s="23">
        <v>1</v>
      </c>
      <c r="F68" s="23">
        <v>1</v>
      </c>
      <c r="G68" s="23">
        <v>7</v>
      </c>
      <c r="H68" s="23">
        <v>2</v>
      </c>
      <c r="I68" s="23">
        <v>1</v>
      </c>
      <c r="J68" s="1">
        <f t="shared" si="2"/>
        <v>46</v>
      </c>
      <c r="K68" s="23">
        <f t="shared" si="3"/>
        <v>7</v>
      </c>
      <c r="P68" s="23"/>
    </row>
    <row r="69" spans="1:16" x14ac:dyDescent="0.2">
      <c r="A69" s="1">
        <v>68</v>
      </c>
      <c r="B69" s="1" t="s">
        <v>201</v>
      </c>
      <c r="C69" s="23">
        <v>30</v>
      </c>
      <c r="D69" s="23">
        <v>2</v>
      </c>
      <c r="F69" s="23">
        <v>1</v>
      </c>
      <c r="G69" s="23">
        <v>9</v>
      </c>
      <c r="I69" s="23">
        <v>4</v>
      </c>
      <c r="J69" s="1">
        <f t="shared" si="2"/>
        <v>46</v>
      </c>
      <c r="K69" s="23">
        <f t="shared" si="3"/>
        <v>5</v>
      </c>
      <c r="P69" s="23"/>
    </row>
    <row r="70" spans="1:16" x14ac:dyDescent="0.2">
      <c r="A70" s="1">
        <v>69</v>
      </c>
      <c r="B70" s="1" t="s">
        <v>229</v>
      </c>
      <c r="C70" s="23">
        <v>27</v>
      </c>
      <c r="F70" s="23">
        <v>1</v>
      </c>
      <c r="G70" s="23">
        <v>9</v>
      </c>
      <c r="H70" s="23">
        <v>2</v>
      </c>
      <c r="I70" s="23">
        <v>3</v>
      </c>
      <c r="J70" s="1">
        <f t="shared" ref="J70:J75" si="4">SUM(C70:I70)</f>
        <v>42</v>
      </c>
      <c r="K70" s="23">
        <f t="shared" ref="K70:K75" si="5">COUNT(C70:I70)</f>
        <v>5</v>
      </c>
      <c r="P70" s="23"/>
    </row>
    <row r="71" spans="1:16" x14ac:dyDescent="0.2">
      <c r="A71" s="1">
        <v>70</v>
      </c>
      <c r="B71" s="1" t="s">
        <v>248</v>
      </c>
      <c r="C71" s="23">
        <v>25</v>
      </c>
      <c r="D71" s="23">
        <v>3</v>
      </c>
      <c r="G71" s="23">
        <v>8</v>
      </c>
      <c r="H71" s="23">
        <v>4</v>
      </c>
      <c r="I71" s="23">
        <v>2</v>
      </c>
      <c r="J71" s="1">
        <f t="shared" si="4"/>
        <v>42</v>
      </c>
      <c r="K71" s="23">
        <f t="shared" si="5"/>
        <v>5</v>
      </c>
      <c r="P71" s="23"/>
    </row>
    <row r="72" spans="1:16" x14ac:dyDescent="0.2">
      <c r="A72" s="1">
        <v>71</v>
      </c>
      <c r="B72" s="1" t="s">
        <v>322</v>
      </c>
      <c r="C72" s="23">
        <v>29</v>
      </c>
      <c r="D72" s="23">
        <v>4</v>
      </c>
      <c r="G72" s="23">
        <v>10</v>
      </c>
      <c r="H72" s="23">
        <v>2</v>
      </c>
      <c r="I72" s="23">
        <v>1</v>
      </c>
      <c r="J72" s="1">
        <f t="shared" si="4"/>
        <v>46</v>
      </c>
      <c r="K72" s="23">
        <f t="shared" si="5"/>
        <v>5</v>
      </c>
      <c r="P72" s="23"/>
    </row>
    <row r="73" spans="1:16" x14ac:dyDescent="0.2">
      <c r="A73" s="1">
        <v>72</v>
      </c>
      <c r="B73" s="1" t="s">
        <v>324</v>
      </c>
      <c r="C73" s="23">
        <v>23</v>
      </c>
      <c r="D73" s="23">
        <v>1</v>
      </c>
      <c r="E73" s="23">
        <v>2</v>
      </c>
      <c r="F73" s="23">
        <v>1</v>
      </c>
      <c r="G73" s="23">
        <v>13</v>
      </c>
      <c r="H73" s="23">
        <v>3</v>
      </c>
      <c r="I73" s="23">
        <v>3</v>
      </c>
      <c r="J73" s="1">
        <f t="shared" si="4"/>
        <v>46</v>
      </c>
      <c r="K73" s="23">
        <f t="shared" si="5"/>
        <v>7</v>
      </c>
      <c r="P73" s="23"/>
    </row>
    <row r="74" spans="1:16" x14ac:dyDescent="0.2">
      <c r="A74" s="1">
        <v>73</v>
      </c>
      <c r="B74" s="1" t="s">
        <v>361</v>
      </c>
      <c r="C74" s="23">
        <v>22</v>
      </c>
      <c r="D74" s="23">
        <v>2</v>
      </c>
      <c r="E74" s="23">
        <v>3</v>
      </c>
      <c r="G74" s="23">
        <v>12</v>
      </c>
      <c r="H74" s="23">
        <v>2</v>
      </c>
      <c r="I74" s="23">
        <v>5</v>
      </c>
      <c r="J74" s="1">
        <f t="shared" si="4"/>
        <v>46</v>
      </c>
      <c r="K74" s="23">
        <f t="shared" si="5"/>
        <v>6</v>
      </c>
      <c r="P74" s="10"/>
    </row>
    <row r="75" spans="1:16" x14ac:dyDescent="0.2">
      <c r="A75" s="1">
        <v>74</v>
      </c>
      <c r="B75" s="1" t="s">
        <v>923</v>
      </c>
      <c r="C75" s="23">
        <v>26</v>
      </c>
      <c r="F75" s="23">
        <v>1</v>
      </c>
      <c r="G75" s="23">
        <v>16</v>
      </c>
      <c r="H75" s="23">
        <v>1</v>
      </c>
      <c r="J75" s="1">
        <f t="shared" si="4"/>
        <v>44</v>
      </c>
      <c r="K75" s="23">
        <f t="shared" si="5"/>
        <v>4</v>
      </c>
      <c r="P75" s="10"/>
    </row>
    <row r="76" spans="1:16" x14ac:dyDescent="0.2">
      <c r="A76" s="1">
        <v>75</v>
      </c>
      <c r="B76" s="1" t="s">
        <v>979</v>
      </c>
      <c r="C76" s="23">
        <v>27</v>
      </c>
      <c r="G76" s="23">
        <v>15</v>
      </c>
      <c r="H76" s="23">
        <v>3</v>
      </c>
      <c r="I76" s="23">
        <v>1</v>
      </c>
      <c r="J76" s="1">
        <f t="shared" ref="J76:J81" si="6">SUM(C76:I76)</f>
        <v>46</v>
      </c>
      <c r="K76" s="23">
        <f t="shared" ref="K76:K81" si="7">COUNT(C76:I76)</f>
        <v>4</v>
      </c>
      <c r="P76" s="10"/>
    </row>
    <row r="77" spans="1:16" x14ac:dyDescent="0.2">
      <c r="A77" s="1">
        <v>76</v>
      </c>
      <c r="B77" s="1" t="s">
        <v>982</v>
      </c>
      <c r="C77" s="23">
        <v>23</v>
      </c>
      <c r="D77" s="23">
        <v>2</v>
      </c>
      <c r="F77" s="23">
        <v>1</v>
      </c>
      <c r="G77" s="23">
        <v>15</v>
      </c>
      <c r="H77" s="23">
        <v>4</v>
      </c>
      <c r="I77" s="23">
        <v>1</v>
      </c>
      <c r="J77" s="1">
        <f t="shared" si="6"/>
        <v>46</v>
      </c>
      <c r="K77" s="23">
        <f t="shared" si="7"/>
        <v>6</v>
      </c>
      <c r="P77" s="10"/>
    </row>
    <row r="78" spans="1:16" x14ac:dyDescent="0.2">
      <c r="A78" s="1">
        <v>77</v>
      </c>
      <c r="B78" s="1" t="s">
        <v>1001</v>
      </c>
      <c r="C78" s="23">
        <v>35</v>
      </c>
      <c r="F78" s="23">
        <v>2</v>
      </c>
      <c r="G78" s="23">
        <v>8</v>
      </c>
      <c r="H78" s="23">
        <v>1</v>
      </c>
      <c r="J78" s="1">
        <f t="shared" si="6"/>
        <v>46</v>
      </c>
      <c r="K78" s="23">
        <f t="shared" si="7"/>
        <v>4</v>
      </c>
      <c r="P78" s="10"/>
    </row>
    <row r="79" spans="1:16" x14ac:dyDescent="0.2">
      <c r="A79" s="1">
        <v>78</v>
      </c>
      <c r="B79" s="1" t="s">
        <v>1025</v>
      </c>
      <c r="C79" s="23">
        <v>35</v>
      </c>
      <c r="D79" s="23">
        <v>1</v>
      </c>
      <c r="E79" s="23">
        <v>1</v>
      </c>
      <c r="F79" s="23">
        <v>1</v>
      </c>
      <c r="G79" s="23">
        <v>6</v>
      </c>
      <c r="H79" s="23">
        <v>1</v>
      </c>
      <c r="I79" s="23">
        <v>1</v>
      </c>
      <c r="J79" s="1">
        <f t="shared" si="6"/>
        <v>46</v>
      </c>
      <c r="K79" s="23">
        <f t="shared" si="7"/>
        <v>7</v>
      </c>
      <c r="P79" s="10"/>
    </row>
    <row r="80" spans="1:16" x14ac:dyDescent="0.2">
      <c r="A80" s="1">
        <v>79</v>
      </c>
      <c r="B80" s="1" t="s">
        <v>1027</v>
      </c>
      <c r="C80" s="23">
        <v>35</v>
      </c>
      <c r="D80" s="23">
        <v>2</v>
      </c>
      <c r="G80" s="23">
        <v>7</v>
      </c>
      <c r="H80" s="23">
        <v>1</v>
      </c>
      <c r="I80" s="23">
        <v>1</v>
      </c>
      <c r="J80" s="1">
        <f t="shared" si="6"/>
        <v>46</v>
      </c>
      <c r="K80" s="23">
        <f t="shared" si="7"/>
        <v>5</v>
      </c>
      <c r="P80" s="10"/>
    </row>
    <row r="81" spans="1:16" x14ac:dyDescent="0.2">
      <c r="A81" s="1">
        <v>80</v>
      </c>
      <c r="B81" s="1" t="s">
        <v>1076</v>
      </c>
      <c r="C81" s="23">
        <v>35</v>
      </c>
      <c r="D81" s="23">
        <v>1</v>
      </c>
      <c r="G81" s="23">
        <v>8</v>
      </c>
      <c r="H81" s="23">
        <v>2</v>
      </c>
      <c r="J81" s="1">
        <f t="shared" si="6"/>
        <v>46</v>
      </c>
      <c r="K81" s="23">
        <f t="shared" si="7"/>
        <v>4</v>
      </c>
      <c r="P81" s="10"/>
    </row>
    <row r="82" spans="1:16" x14ac:dyDescent="0.2">
      <c r="A82" s="1">
        <v>81</v>
      </c>
      <c r="B82" s="1" t="s">
        <v>1079</v>
      </c>
      <c r="C82" s="23">
        <v>29</v>
      </c>
      <c r="D82" s="23">
        <v>1</v>
      </c>
      <c r="G82" s="23">
        <v>12</v>
      </c>
      <c r="H82" s="23">
        <v>3</v>
      </c>
      <c r="I82" s="23">
        <v>1</v>
      </c>
      <c r="J82" s="1">
        <f t="shared" ref="J82:J87" si="8">SUM(C82:I82)</f>
        <v>46</v>
      </c>
      <c r="K82" s="23">
        <f t="shared" ref="K82:K87" si="9">COUNT(C82:I82)</f>
        <v>5</v>
      </c>
      <c r="P82" s="10"/>
    </row>
    <row r="83" spans="1:16" x14ac:dyDescent="0.2">
      <c r="A83" s="1">
        <v>82</v>
      </c>
      <c r="B83" s="1" t="s">
        <v>1093</v>
      </c>
      <c r="C83" s="23">
        <v>30</v>
      </c>
      <c r="G83" s="23">
        <v>10</v>
      </c>
      <c r="H83" s="23">
        <v>2</v>
      </c>
      <c r="J83" s="1">
        <f t="shared" si="8"/>
        <v>42</v>
      </c>
      <c r="K83" s="23">
        <f t="shared" si="9"/>
        <v>3</v>
      </c>
      <c r="P83" s="10"/>
    </row>
    <row r="84" spans="1:16" x14ac:dyDescent="0.2">
      <c r="A84" s="1">
        <v>83</v>
      </c>
      <c r="B84" s="1" t="s">
        <v>1107</v>
      </c>
      <c r="C84" s="23">
        <v>29</v>
      </c>
      <c r="D84" s="23">
        <v>1</v>
      </c>
      <c r="F84" s="23">
        <v>1</v>
      </c>
      <c r="G84" s="23">
        <v>9</v>
      </c>
      <c r="H84" s="23">
        <v>2</v>
      </c>
      <c r="J84" s="1">
        <f t="shared" si="8"/>
        <v>42</v>
      </c>
      <c r="K84" s="23">
        <f t="shared" si="9"/>
        <v>5</v>
      </c>
      <c r="P84" s="10"/>
    </row>
    <row r="85" spans="1:16" x14ac:dyDescent="0.2">
      <c r="A85" s="1">
        <v>84</v>
      </c>
      <c r="B85" s="1" t="s">
        <v>1149</v>
      </c>
      <c r="C85" s="23">
        <v>25</v>
      </c>
      <c r="E85" s="23">
        <v>1</v>
      </c>
      <c r="F85" s="23">
        <v>1</v>
      </c>
      <c r="G85" s="23">
        <v>6</v>
      </c>
      <c r="H85" s="23">
        <v>1</v>
      </c>
      <c r="J85" s="1">
        <f t="shared" si="8"/>
        <v>34</v>
      </c>
      <c r="K85" s="23">
        <f t="shared" si="9"/>
        <v>5</v>
      </c>
      <c r="P85" s="10"/>
    </row>
    <row r="86" spans="1:16" x14ac:dyDescent="0.2">
      <c r="A86" s="1">
        <v>85</v>
      </c>
      <c r="B86" s="80" t="s">
        <v>1173</v>
      </c>
      <c r="C86" s="23">
        <v>6</v>
      </c>
      <c r="F86" s="23">
        <v>1</v>
      </c>
      <c r="G86" s="23">
        <v>5</v>
      </c>
      <c r="H86" s="23">
        <v>1</v>
      </c>
      <c r="J86" s="1">
        <f t="shared" si="8"/>
        <v>13</v>
      </c>
      <c r="K86" s="23">
        <f t="shared" si="9"/>
        <v>4</v>
      </c>
      <c r="P86" s="10"/>
    </row>
    <row r="87" spans="1:16" x14ac:dyDescent="0.2">
      <c r="A87" s="1">
        <v>86</v>
      </c>
      <c r="B87" s="80" t="s">
        <v>1182</v>
      </c>
      <c r="C87" s="23">
        <v>23</v>
      </c>
      <c r="D87" s="23">
        <v>1</v>
      </c>
      <c r="F87" s="23">
        <v>1</v>
      </c>
      <c r="G87" s="23">
        <v>13</v>
      </c>
      <c r="H87" s="23">
        <v>3</v>
      </c>
      <c r="I87" s="23">
        <v>1</v>
      </c>
      <c r="J87" s="1">
        <f t="shared" si="8"/>
        <v>42</v>
      </c>
      <c r="K87" s="23">
        <f t="shared" si="9"/>
        <v>6</v>
      </c>
      <c r="P87" s="10"/>
    </row>
    <row r="88" spans="1:16" x14ac:dyDescent="0.2">
      <c r="A88" s="1">
        <v>87</v>
      </c>
      <c r="B88" s="80" t="s">
        <v>1427</v>
      </c>
      <c r="C88" s="23">
        <v>27</v>
      </c>
      <c r="D88" s="23">
        <v>1</v>
      </c>
      <c r="F88" s="23">
        <v>1</v>
      </c>
      <c r="G88" s="23">
        <v>12</v>
      </c>
      <c r="H88" s="23">
        <v>5</v>
      </c>
      <c r="J88" s="1">
        <f>SUM(C88:I88)</f>
        <v>46</v>
      </c>
      <c r="K88" s="23">
        <f>COUNT(C88:I88)</f>
        <v>5</v>
      </c>
      <c r="P88" s="10"/>
    </row>
    <row r="89" spans="1:16" x14ac:dyDescent="0.2">
      <c r="A89" s="1">
        <v>88</v>
      </c>
      <c r="B89" s="80" t="s">
        <v>1618</v>
      </c>
      <c r="C89" s="23">
        <v>29</v>
      </c>
      <c r="D89" s="23">
        <v>1</v>
      </c>
      <c r="G89" s="23">
        <v>13</v>
      </c>
      <c r="H89" s="23">
        <v>2</v>
      </c>
      <c r="I89" s="23">
        <v>1</v>
      </c>
      <c r="J89" s="1">
        <f>SUM(C89:I89)</f>
        <v>46</v>
      </c>
      <c r="K89" s="23">
        <f>COUNT(C89:I89)</f>
        <v>5</v>
      </c>
      <c r="P89" s="10"/>
    </row>
    <row r="90" spans="1:16" x14ac:dyDescent="0.2">
      <c r="A90" s="1">
        <v>89</v>
      </c>
      <c r="B90" s="80" t="s">
        <v>1670</v>
      </c>
      <c r="C90" s="23">
        <v>10</v>
      </c>
      <c r="G90" s="23">
        <v>4</v>
      </c>
      <c r="H90" s="23">
        <v>1</v>
      </c>
      <c r="J90" s="1">
        <f>SUM(C90:I90)</f>
        <v>15</v>
      </c>
      <c r="K90" s="23">
        <f>COUNT(C90:I90)</f>
        <v>3</v>
      </c>
      <c r="P90" s="10"/>
    </row>
    <row r="92" spans="1:16" s="24" customFormat="1" x14ac:dyDescent="0.2">
      <c r="A92" s="19" t="s">
        <v>23</v>
      </c>
      <c r="B92" s="19"/>
      <c r="C92" s="19">
        <f t="shared" ref="C92:J92" si="10">SUM(C2:C91)</f>
        <v>2597</v>
      </c>
      <c r="D92" s="19">
        <f t="shared" si="10"/>
        <v>234</v>
      </c>
      <c r="E92" s="19">
        <f t="shared" si="10"/>
        <v>32</v>
      </c>
      <c r="F92" s="19">
        <f t="shared" si="10"/>
        <v>149</v>
      </c>
      <c r="G92" s="19">
        <f t="shared" si="10"/>
        <v>534</v>
      </c>
      <c r="H92" s="19">
        <f t="shared" si="10"/>
        <v>328</v>
      </c>
      <c r="I92" s="19">
        <f t="shared" si="10"/>
        <v>46</v>
      </c>
      <c r="J92" s="19">
        <f t="shared" si="10"/>
        <v>3920</v>
      </c>
      <c r="K92" s="26"/>
    </row>
    <row r="93" spans="1:16" x14ac:dyDescent="0.2">
      <c r="C93" s="81">
        <f t="shared" ref="C93:J93" si="11">C92/$J$92</f>
        <v>0.66249999999999998</v>
      </c>
      <c r="D93" s="81">
        <f t="shared" si="11"/>
        <v>5.9693877551020409E-2</v>
      </c>
      <c r="E93" s="81">
        <f t="shared" si="11"/>
        <v>8.1632653061224497E-3</v>
      </c>
      <c r="F93" s="81">
        <f t="shared" si="11"/>
        <v>3.8010204081632651E-2</v>
      </c>
      <c r="G93" s="81">
        <f t="shared" si="11"/>
        <v>0.13622448979591836</v>
      </c>
      <c r="H93" s="81">
        <f t="shared" si="11"/>
        <v>8.3673469387755106E-2</v>
      </c>
      <c r="I93" s="81">
        <f t="shared" si="11"/>
        <v>1.1734693877551021E-2</v>
      </c>
      <c r="J93" s="81">
        <f t="shared" si="11"/>
        <v>1</v>
      </c>
    </row>
    <row r="95" spans="1:16" s="10" customFormat="1" x14ac:dyDescent="0.2">
      <c r="A95" s="1" t="s">
        <v>69</v>
      </c>
      <c r="B95" s="1"/>
      <c r="C95" s="1">
        <f>COUNT(C2:C91)</f>
        <v>89</v>
      </c>
      <c r="D95" s="1">
        <f t="shared" ref="D95:I95" si="12">COUNT(D2:D91)</f>
        <v>78</v>
      </c>
      <c r="E95" s="1">
        <f t="shared" si="12"/>
        <v>24</v>
      </c>
      <c r="F95" s="1">
        <f t="shared" si="12"/>
        <v>63</v>
      </c>
      <c r="G95" s="1">
        <f t="shared" si="12"/>
        <v>83</v>
      </c>
      <c r="H95" s="1">
        <f t="shared" si="12"/>
        <v>87</v>
      </c>
      <c r="I95" s="1">
        <f t="shared" si="12"/>
        <v>26</v>
      </c>
      <c r="J95" s="1"/>
      <c r="K95" s="1"/>
    </row>
    <row r="96" spans="1:16" s="10" customFormat="1" x14ac:dyDescent="0.2">
      <c r="A96" s="1" t="s">
        <v>3</v>
      </c>
      <c r="B96" s="1"/>
      <c r="C96" s="1">
        <f>MAX(C2:C91)</f>
        <v>35</v>
      </c>
      <c r="D96" s="1">
        <f t="shared" ref="D96:K96" si="13">MAX(D2:D91)</f>
        <v>14</v>
      </c>
      <c r="E96" s="1">
        <f t="shared" si="13"/>
        <v>3</v>
      </c>
      <c r="F96" s="1">
        <f t="shared" si="13"/>
        <v>7</v>
      </c>
      <c r="G96" s="1">
        <f t="shared" si="13"/>
        <v>16</v>
      </c>
      <c r="H96" s="1">
        <f t="shared" si="13"/>
        <v>13</v>
      </c>
      <c r="I96" s="1">
        <f t="shared" si="13"/>
        <v>5</v>
      </c>
      <c r="J96" s="1"/>
      <c r="K96" s="1">
        <f t="shared" si="13"/>
        <v>7</v>
      </c>
    </row>
    <row r="97" spans="1:11" s="10" customFormat="1" x14ac:dyDescent="0.2">
      <c r="A97" s="1" t="s">
        <v>1</v>
      </c>
      <c r="B97" s="1"/>
      <c r="C97" s="1">
        <f>MIN(C2:C91)</f>
        <v>6</v>
      </c>
      <c r="D97" s="1">
        <f t="shared" ref="D97:I97" si="14">MIN(D2:D91)</f>
        <v>1</v>
      </c>
      <c r="E97" s="1">
        <f t="shared" si="14"/>
        <v>1</v>
      </c>
      <c r="F97" s="1">
        <f t="shared" si="14"/>
        <v>1</v>
      </c>
      <c r="G97" s="1">
        <f t="shared" si="14"/>
        <v>1</v>
      </c>
      <c r="H97" s="1">
        <f t="shared" si="14"/>
        <v>1</v>
      </c>
      <c r="I97" s="1">
        <f t="shared" si="14"/>
        <v>1</v>
      </c>
      <c r="J97" s="1"/>
      <c r="K97" s="1">
        <f>MIN(K2:K91)</f>
        <v>3</v>
      </c>
    </row>
    <row r="99" spans="1:11" x14ac:dyDescent="0.2">
      <c r="B99" s="77" t="s">
        <v>4</v>
      </c>
      <c r="C99" s="79">
        <v>45587</v>
      </c>
      <c r="D99" s="32"/>
      <c r="H99" s="77"/>
      <c r="I99" s="77"/>
      <c r="J99" s="1">
        <v>7</v>
      </c>
      <c r="K99" s="23">
        <f>COUNTIF(K$2:K$91,"=7")</f>
        <v>4</v>
      </c>
    </row>
    <row r="100" spans="1:11" x14ac:dyDescent="0.2">
      <c r="J100" s="1">
        <v>6</v>
      </c>
      <c r="K100" s="23">
        <f>COUNTIF(K$2:K$91,"=6")</f>
        <v>19</v>
      </c>
    </row>
    <row r="101" spans="1:11" x14ac:dyDescent="0.2">
      <c r="J101" s="1">
        <v>5</v>
      </c>
      <c r="K101" s="23">
        <f>COUNTIF(K$2:K$91,"=5")</f>
        <v>46</v>
      </c>
    </row>
    <row r="102" spans="1:11" x14ac:dyDescent="0.2">
      <c r="J102" s="1">
        <v>4</v>
      </c>
      <c r="K102" s="23">
        <f>COUNTIF(K$2:K$91,"=4")</f>
        <v>18</v>
      </c>
    </row>
    <row r="103" spans="1:11" x14ac:dyDescent="0.2">
      <c r="J103" s="1">
        <v>3</v>
      </c>
      <c r="K103" s="23">
        <f>COUNTIF(K$2:K$91,"=3")</f>
        <v>2</v>
      </c>
    </row>
    <row r="104" spans="1:11" x14ac:dyDescent="0.2">
      <c r="J104" s="1">
        <v>2</v>
      </c>
      <c r="K104" s="23">
        <f>COUNTIF(K$2:K$91,"=2")</f>
        <v>0</v>
      </c>
    </row>
    <row r="105" spans="1:11" x14ac:dyDescent="0.2">
      <c r="J105" s="1">
        <v>1</v>
      </c>
      <c r="K105" s="23">
        <f>COUNTIF(K$2:K$91,"=1")</f>
        <v>0</v>
      </c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65"/>
  <sheetViews>
    <sheetView zoomScaleNormal="100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J37" sqref="J37"/>
    </sheetView>
  </sheetViews>
  <sheetFormatPr defaultColWidth="9.140625" defaultRowHeight="11.25" x14ac:dyDescent="0.2"/>
  <cols>
    <col min="1" max="1" width="4.28515625" style="1" customWidth="1"/>
    <col min="2" max="2" width="15.140625" style="2" customWidth="1"/>
    <col min="3" max="3" width="11.7109375" style="23" bestFit="1" customWidth="1"/>
    <col min="4" max="4" width="5.5703125" style="2" bestFit="1" customWidth="1"/>
    <col min="5" max="5" width="5.28515625" style="2" bestFit="1" customWidth="1"/>
    <col min="6" max="6" width="8.28515625" style="2" bestFit="1" customWidth="1"/>
    <col min="7" max="7" width="6.7109375" style="2" customWidth="1"/>
    <col min="8" max="8" width="6.7109375" style="10" customWidth="1"/>
    <col min="9" max="9" width="6.42578125" style="1" bestFit="1" customWidth="1"/>
    <col min="10" max="10" width="8.28515625" style="1" bestFit="1" customWidth="1"/>
    <col min="11" max="12" width="6.42578125" style="1" customWidth="1"/>
    <col min="13" max="13" width="4" style="2" bestFit="1" customWidth="1"/>
    <col min="14" max="14" width="4.140625" style="2" bestFit="1" customWidth="1"/>
    <col min="15" max="16" width="1.85546875" style="2" bestFit="1" customWidth="1"/>
    <col min="17" max="18" width="3.5703125" style="2" bestFit="1" customWidth="1"/>
    <col min="19" max="19" width="12.85546875" style="2" bestFit="1" customWidth="1"/>
    <col min="20" max="20" width="10.7109375" style="2" bestFit="1" customWidth="1"/>
    <col min="21" max="21" width="13.42578125" style="2" bestFit="1" customWidth="1"/>
    <col min="22" max="22" width="10.140625" style="2" bestFit="1" customWidth="1"/>
    <col min="23" max="23" width="11.7109375" style="2" customWidth="1"/>
    <col min="24" max="24" width="9.140625" style="2"/>
    <col min="25" max="25" width="9.7109375" style="2" customWidth="1"/>
    <col min="26" max="16384" width="9.140625" style="2"/>
  </cols>
  <sheetData>
    <row r="1" spans="1:25" s="18" customFormat="1" x14ac:dyDescent="0.2">
      <c r="A1" s="19"/>
      <c r="B1" s="18" t="s">
        <v>18</v>
      </c>
      <c r="C1" s="19" t="s">
        <v>19</v>
      </c>
      <c r="D1" s="19" t="s">
        <v>20</v>
      </c>
      <c r="E1" s="19" t="s">
        <v>21</v>
      </c>
      <c r="F1" s="19" t="s">
        <v>1661</v>
      </c>
      <c r="G1" s="19" t="s">
        <v>22</v>
      </c>
      <c r="H1" s="19" t="s">
        <v>23</v>
      </c>
      <c r="I1" s="19" t="s">
        <v>19</v>
      </c>
      <c r="J1" s="19" t="s">
        <v>1225</v>
      </c>
      <c r="K1" s="20" t="s">
        <v>321</v>
      </c>
      <c r="L1" s="19"/>
      <c r="M1" s="19" t="s">
        <v>162</v>
      </c>
      <c r="N1" s="18" t="s">
        <v>163</v>
      </c>
      <c r="S1" s="95" t="s">
        <v>1119</v>
      </c>
      <c r="T1" s="87"/>
      <c r="U1" s="87"/>
      <c r="V1" s="87"/>
      <c r="W1" s="87"/>
      <c r="X1" s="87"/>
      <c r="Y1" s="87"/>
    </row>
    <row r="2" spans="1:25" s="18" customFormat="1" x14ac:dyDescent="0.2">
      <c r="A2" s="19"/>
      <c r="C2" s="19"/>
      <c r="D2" s="19"/>
      <c r="E2" s="19"/>
      <c r="F2" s="19"/>
      <c r="G2" s="19"/>
      <c r="H2" s="19"/>
      <c r="I2" s="19"/>
      <c r="J2" s="19" t="s">
        <v>61</v>
      </c>
      <c r="K2" s="19"/>
      <c r="L2" s="19"/>
      <c r="S2" s="98" t="s">
        <v>974</v>
      </c>
      <c r="T2" s="96" t="s">
        <v>1228</v>
      </c>
      <c r="U2" s="98" t="s">
        <v>18</v>
      </c>
      <c r="V2" s="97" t="s">
        <v>1227</v>
      </c>
      <c r="W2" s="97" t="s">
        <v>20</v>
      </c>
      <c r="X2" s="97" t="s">
        <v>24</v>
      </c>
      <c r="Y2" s="97" t="s">
        <v>1226</v>
      </c>
    </row>
    <row r="3" spans="1:25" x14ac:dyDescent="0.2">
      <c r="A3" s="90">
        <f t="shared" ref="A3:A44" si="0">RANK(H3,H$3:H$52)</f>
        <v>1</v>
      </c>
      <c r="B3" s="2" t="s">
        <v>438</v>
      </c>
      <c r="C3" s="23" t="s">
        <v>1640</v>
      </c>
      <c r="D3" s="103">
        <v>127</v>
      </c>
      <c r="E3" s="103">
        <v>16</v>
      </c>
      <c r="H3" s="18">
        <f t="shared" ref="H3:H24" si="1">SUM(D3:G3)</f>
        <v>143</v>
      </c>
      <c r="I3" s="1">
        <v>11</v>
      </c>
      <c r="J3" s="83">
        <f t="shared" ref="J3:J24" si="2">H3/I3</f>
        <v>13</v>
      </c>
      <c r="K3" s="84">
        <f t="shared" ref="K3:K29" si="3">RANK(J3,J$3:J$53,0)</f>
        <v>14</v>
      </c>
      <c r="L3" s="118"/>
      <c r="M3" s="2">
        <v>402</v>
      </c>
      <c r="N3" s="85">
        <f t="shared" ref="N3:N11" si="4">H3/M3</f>
        <v>0.35572139303482586</v>
      </c>
      <c r="S3" s="92" t="s">
        <v>926</v>
      </c>
      <c r="T3" s="99">
        <v>39</v>
      </c>
      <c r="U3" s="87" t="s">
        <v>950</v>
      </c>
      <c r="V3" s="84">
        <f t="shared" ref="V3:V34" si="5">RANK(T3,T$3:T$34,0)</f>
        <v>1</v>
      </c>
      <c r="W3" s="87">
        <v>31</v>
      </c>
      <c r="X3" s="87">
        <v>8</v>
      </c>
      <c r="Y3" s="84">
        <f t="shared" ref="Y3:Y34" si="6">RANK(W3,W$3:W$34,0)</f>
        <v>1</v>
      </c>
    </row>
    <row r="4" spans="1:25" x14ac:dyDescent="0.2">
      <c r="A4" s="90">
        <f t="shared" si="0"/>
        <v>2</v>
      </c>
      <c r="B4" s="2" t="s">
        <v>706</v>
      </c>
      <c r="C4" s="23" t="s">
        <v>26</v>
      </c>
      <c r="D4" s="2">
        <v>119</v>
      </c>
      <c r="E4" s="2">
        <v>11</v>
      </c>
      <c r="F4" s="103">
        <v>9</v>
      </c>
      <c r="G4" s="2">
        <v>1</v>
      </c>
      <c r="H4" s="18">
        <f t="shared" si="1"/>
        <v>140</v>
      </c>
      <c r="I4" s="1">
        <v>6</v>
      </c>
      <c r="J4" s="83">
        <f t="shared" si="2"/>
        <v>23.333333333333332</v>
      </c>
      <c r="K4" s="84">
        <f t="shared" si="3"/>
        <v>4</v>
      </c>
      <c r="L4" s="118"/>
      <c r="M4" s="2">
        <v>291</v>
      </c>
      <c r="N4" s="85">
        <f t="shared" si="4"/>
        <v>0.48109965635738833</v>
      </c>
      <c r="S4" s="92" t="s">
        <v>948</v>
      </c>
      <c r="T4" s="99">
        <v>34</v>
      </c>
      <c r="U4" s="87" t="s">
        <v>961</v>
      </c>
      <c r="V4" s="84">
        <f t="shared" si="5"/>
        <v>2</v>
      </c>
      <c r="W4" s="87">
        <v>26</v>
      </c>
      <c r="X4" s="87">
        <v>8</v>
      </c>
      <c r="Y4" s="84">
        <f t="shared" si="6"/>
        <v>8</v>
      </c>
    </row>
    <row r="5" spans="1:25" x14ac:dyDescent="0.2">
      <c r="A5" s="90">
        <f t="shared" si="0"/>
        <v>3</v>
      </c>
      <c r="B5" s="2" t="s">
        <v>707</v>
      </c>
      <c r="C5" s="23" t="s">
        <v>27</v>
      </c>
      <c r="D5" s="2">
        <v>118</v>
      </c>
      <c r="E5" s="2">
        <v>6</v>
      </c>
      <c r="H5" s="18">
        <f t="shared" si="1"/>
        <v>124</v>
      </c>
      <c r="I5" s="1">
        <v>7</v>
      </c>
      <c r="J5" s="83">
        <f t="shared" si="2"/>
        <v>17.714285714285715</v>
      </c>
      <c r="K5" s="84">
        <f t="shared" si="3"/>
        <v>11</v>
      </c>
      <c r="L5" s="118"/>
      <c r="M5" s="2">
        <v>279</v>
      </c>
      <c r="N5" s="85">
        <f t="shared" si="4"/>
        <v>0.44444444444444442</v>
      </c>
      <c r="S5" s="92" t="s">
        <v>927</v>
      </c>
      <c r="T5" s="99">
        <v>33</v>
      </c>
      <c r="U5" s="87" t="s">
        <v>950</v>
      </c>
      <c r="V5" s="84">
        <f t="shared" si="5"/>
        <v>3</v>
      </c>
      <c r="W5" s="87">
        <v>31</v>
      </c>
      <c r="X5" s="87">
        <v>2</v>
      </c>
      <c r="Y5" s="84">
        <f t="shared" si="6"/>
        <v>1</v>
      </c>
    </row>
    <row r="6" spans="1:25" x14ac:dyDescent="0.2">
      <c r="A6" s="90">
        <f t="shared" si="0"/>
        <v>4</v>
      </c>
      <c r="B6" s="2" t="s">
        <v>708</v>
      </c>
      <c r="C6" s="23" t="s">
        <v>28</v>
      </c>
      <c r="D6" s="2">
        <v>109</v>
      </c>
      <c r="E6" s="2">
        <v>8</v>
      </c>
      <c r="H6" s="18">
        <f t="shared" si="1"/>
        <v>117</v>
      </c>
      <c r="I6" s="1">
        <v>7</v>
      </c>
      <c r="J6" s="83">
        <f t="shared" si="2"/>
        <v>16.714285714285715</v>
      </c>
      <c r="K6" s="84">
        <f t="shared" si="3"/>
        <v>12</v>
      </c>
      <c r="L6" s="168"/>
      <c r="M6" s="2">
        <v>241</v>
      </c>
      <c r="N6" s="85">
        <f t="shared" si="4"/>
        <v>0.48547717842323651</v>
      </c>
      <c r="S6" s="92" t="s">
        <v>928</v>
      </c>
      <c r="T6" s="99">
        <v>31</v>
      </c>
      <c r="U6" s="87" t="s">
        <v>951</v>
      </c>
      <c r="V6" s="84">
        <f t="shared" si="5"/>
        <v>4</v>
      </c>
      <c r="W6" s="87">
        <v>31</v>
      </c>
      <c r="X6" s="87">
        <v>0</v>
      </c>
      <c r="Y6" s="84">
        <f t="shared" si="6"/>
        <v>1</v>
      </c>
    </row>
    <row r="7" spans="1:25" x14ac:dyDescent="0.2">
      <c r="A7" s="90">
        <f t="shared" si="0"/>
        <v>5</v>
      </c>
      <c r="B7" s="2" t="s">
        <v>709</v>
      </c>
      <c r="C7" s="23" t="s">
        <v>1641</v>
      </c>
      <c r="D7" s="2">
        <v>98</v>
      </c>
      <c r="E7" s="2">
        <v>12</v>
      </c>
      <c r="F7" s="2">
        <v>3</v>
      </c>
      <c r="H7" s="18">
        <f t="shared" si="1"/>
        <v>113</v>
      </c>
      <c r="I7" s="1">
        <v>6</v>
      </c>
      <c r="J7" s="83">
        <f t="shared" si="2"/>
        <v>18.833333333333332</v>
      </c>
      <c r="K7" s="84">
        <f t="shared" si="3"/>
        <v>9</v>
      </c>
      <c r="L7" s="168"/>
      <c r="M7" s="2">
        <v>247</v>
      </c>
      <c r="N7" s="85">
        <f t="shared" si="4"/>
        <v>0.45748987854251011</v>
      </c>
      <c r="S7" s="92" t="s">
        <v>929</v>
      </c>
      <c r="T7" s="99">
        <v>31</v>
      </c>
      <c r="U7" s="87" t="s">
        <v>952</v>
      </c>
      <c r="V7" s="84">
        <f t="shared" si="5"/>
        <v>4</v>
      </c>
      <c r="W7" s="87">
        <v>26</v>
      </c>
      <c r="X7" s="87">
        <v>5</v>
      </c>
      <c r="Y7" s="84">
        <f t="shared" si="6"/>
        <v>8</v>
      </c>
    </row>
    <row r="8" spans="1:25" x14ac:dyDescent="0.2">
      <c r="A8" s="90">
        <f t="shared" si="0"/>
        <v>6</v>
      </c>
      <c r="B8" s="2" t="s">
        <v>710</v>
      </c>
      <c r="C8" s="23" t="s">
        <v>29</v>
      </c>
      <c r="D8" s="2">
        <v>92</v>
      </c>
      <c r="E8" s="2">
        <v>13</v>
      </c>
      <c r="H8" s="18">
        <f t="shared" si="1"/>
        <v>105</v>
      </c>
      <c r="I8" s="1">
        <v>4</v>
      </c>
      <c r="J8" s="83">
        <f t="shared" si="2"/>
        <v>26.25</v>
      </c>
      <c r="K8" s="84">
        <f t="shared" si="3"/>
        <v>2</v>
      </c>
      <c r="L8" s="168"/>
      <c r="M8" s="2">
        <v>158</v>
      </c>
      <c r="N8" s="85">
        <f t="shared" si="4"/>
        <v>0.66455696202531644</v>
      </c>
      <c r="S8" s="92" t="s">
        <v>930</v>
      </c>
      <c r="T8" s="99">
        <v>30</v>
      </c>
      <c r="U8" s="87" t="s">
        <v>952</v>
      </c>
      <c r="V8" s="84">
        <f t="shared" si="5"/>
        <v>6</v>
      </c>
      <c r="W8" s="87">
        <v>26</v>
      </c>
      <c r="X8" s="87">
        <v>4</v>
      </c>
      <c r="Y8" s="84">
        <f t="shared" si="6"/>
        <v>8</v>
      </c>
    </row>
    <row r="9" spans="1:25" x14ac:dyDescent="0.2">
      <c r="A9" s="90">
        <f t="shared" si="0"/>
        <v>7</v>
      </c>
      <c r="B9" s="2" t="s">
        <v>711</v>
      </c>
      <c r="C9" s="23" t="s">
        <v>30</v>
      </c>
      <c r="D9" s="2">
        <v>78</v>
      </c>
      <c r="E9" s="2">
        <v>4</v>
      </c>
      <c r="F9" s="2">
        <v>5</v>
      </c>
      <c r="H9" s="18">
        <f t="shared" si="1"/>
        <v>87</v>
      </c>
      <c r="I9" s="1">
        <v>7</v>
      </c>
      <c r="J9" s="83">
        <f t="shared" si="2"/>
        <v>12.428571428571429</v>
      </c>
      <c r="K9" s="84">
        <f t="shared" si="3"/>
        <v>16</v>
      </c>
      <c r="L9" s="168"/>
      <c r="M9" s="2">
        <v>297</v>
      </c>
      <c r="N9" s="85">
        <f t="shared" si="4"/>
        <v>0.29292929292929293</v>
      </c>
      <c r="S9" s="92" t="s">
        <v>931</v>
      </c>
      <c r="T9" s="99">
        <v>29</v>
      </c>
      <c r="U9" s="87" t="s">
        <v>953</v>
      </c>
      <c r="V9" s="84">
        <f t="shared" si="5"/>
        <v>7</v>
      </c>
      <c r="W9" s="87">
        <v>29</v>
      </c>
      <c r="X9" s="87">
        <v>0</v>
      </c>
      <c r="Y9" s="84">
        <f t="shared" si="6"/>
        <v>4</v>
      </c>
    </row>
    <row r="10" spans="1:25" x14ac:dyDescent="0.2">
      <c r="A10" s="90">
        <f t="shared" si="0"/>
        <v>8</v>
      </c>
      <c r="B10" s="2" t="s">
        <v>712</v>
      </c>
      <c r="C10" s="23" t="s">
        <v>1639</v>
      </c>
      <c r="D10" s="2">
        <v>81</v>
      </c>
      <c r="E10" s="2">
        <v>5</v>
      </c>
      <c r="H10" s="18">
        <f t="shared" si="1"/>
        <v>86</v>
      </c>
      <c r="I10" s="1">
        <v>3</v>
      </c>
      <c r="J10" s="83">
        <f t="shared" si="2"/>
        <v>28.666666666666668</v>
      </c>
      <c r="K10" s="84">
        <f t="shared" si="3"/>
        <v>1</v>
      </c>
      <c r="L10" s="168"/>
      <c r="M10" s="2">
        <v>121</v>
      </c>
      <c r="N10" s="86">
        <f t="shared" si="4"/>
        <v>0.71074380165289253</v>
      </c>
      <c r="S10" s="92" t="s">
        <v>932</v>
      </c>
      <c r="T10" s="99">
        <v>29</v>
      </c>
      <c r="U10" s="87" t="s">
        <v>953</v>
      </c>
      <c r="V10" s="84">
        <f t="shared" si="5"/>
        <v>7</v>
      </c>
      <c r="W10" s="87">
        <v>29</v>
      </c>
      <c r="X10" s="87">
        <v>0</v>
      </c>
      <c r="Y10" s="84">
        <f t="shared" si="6"/>
        <v>4</v>
      </c>
    </row>
    <row r="11" spans="1:25" x14ac:dyDescent="0.2">
      <c r="A11" s="90">
        <f t="shared" si="0"/>
        <v>9</v>
      </c>
      <c r="B11" s="2" t="s">
        <v>713</v>
      </c>
      <c r="C11" s="23" t="s">
        <v>32</v>
      </c>
      <c r="D11" s="2">
        <v>76</v>
      </c>
      <c r="F11" s="2">
        <v>5</v>
      </c>
      <c r="G11" s="2">
        <v>4</v>
      </c>
      <c r="H11" s="18">
        <f t="shared" si="1"/>
        <v>85</v>
      </c>
      <c r="I11" s="1">
        <v>4</v>
      </c>
      <c r="J11" s="83">
        <f t="shared" si="2"/>
        <v>21.25</v>
      </c>
      <c r="K11" s="84">
        <f t="shared" si="3"/>
        <v>5</v>
      </c>
      <c r="L11" s="168"/>
      <c r="M11" s="2">
        <v>179</v>
      </c>
      <c r="N11" s="85">
        <f t="shared" si="4"/>
        <v>0.47486033519553073</v>
      </c>
      <c r="S11" s="92" t="s">
        <v>933</v>
      </c>
      <c r="T11" s="99">
        <v>29</v>
      </c>
      <c r="U11" s="87" t="s">
        <v>954</v>
      </c>
      <c r="V11" s="84">
        <f t="shared" si="5"/>
        <v>7</v>
      </c>
      <c r="W11" s="87">
        <v>28</v>
      </c>
      <c r="X11" s="87">
        <v>1</v>
      </c>
      <c r="Y11" s="84">
        <f t="shared" si="6"/>
        <v>6</v>
      </c>
    </row>
    <row r="12" spans="1:25" s="87" customFormat="1" ht="22.5" x14ac:dyDescent="0.2">
      <c r="A12" s="90">
        <f t="shared" si="0"/>
        <v>10</v>
      </c>
      <c r="B12" s="87" t="s">
        <v>737</v>
      </c>
      <c r="C12" s="88" t="s">
        <v>1642</v>
      </c>
      <c r="D12" s="87">
        <v>58</v>
      </c>
      <c r="E12" s="87">
        <v>6</v>
      </c>
      <c r="G12" s="171">
        <v>12</v>
      </c>
      <c r="H12" s="89">
        <f t="shared" si="1"/>
        <v>76</v>
      </c>
      <c r="I12" s="90">
        <v>6</v>
      </c>
      <c r="J12" s="91">
        <f t="shared" si="2"/>
        <v>12.666666666666666</v>
      </c>
      <c r="K12" s="84">
        <f t="shared" si="3"/>
        <v>15</v>
      </c>
      <c r="L12" s="168"/>
      <c r="S12" s="92" t="s">
        <v>934</v>
      </c>
      <c r="T12" s="99">
        <v>29</v>
      </c>
      <c r="U12" s="87" t="s">
        <v>955</v>
      </c>
      <c r="V12" s="84">
        <f t="shared" si="5"/>
        <v>7</v>
      </c>
      <c r="W12" s="87">
        <v>22</v>
      </c>
      <c r="X12" s="87">
        <v>7</v>
      </c>
      <c r="Y12" s="84">
        <f t="shared" si="6"/>
        <v>20</v>
      </c>
    </row>
    <row r="13" spans="1:25" s="87" customFormat="1" x14ac:dyDescent="0.2">
      <c r="A13" s="90">
        <f t="shared" si="0"/>
        <v>11</v>
      </c>
      <c r="B13" s="87" t="s">
        <v>437</v>
      </c>
      <c r="C13" s="93" t="s">
        <v>33</v>
      </c>
      <c r="D13" s="87">
        <v>57</v>
      </c>
      <c r="E13" s="87">
        <v>6</v>
      </c>
      <c r="F13" s="87">
        <v>2</v>
      </c>
      <c r="G13" s="87">
        <v>5</v>
      </c>
      <c r="H13" s="89">
        <f t="shared" si="1"/>
        <v>70</v>
      </c>
      <c r="I13" s="90">
        <v>11</v>
      </c>
      <c r="J13" s="91">
        <f t="shared" si="2"/>
        <v>6.3636363636363633</v>
      </c>
      <c r="K13" s="84">
        <f t="shared" si="3"/>
        <v>42</v>
      </c>
      <c r="L13" s="168"/>
      <c r="M13" s="87">
        <v>413</v>
      </c>
      <c r="N13" s="94">
        <f>H13/M13</f>
        <v>0.16949152542372881</v>
      </c>
      <c r="S13" s="92" t="s">
        <v>935</v>
      </c>
      <c r="T13" s="99">
        <v>28</v>
      </c>
      <c r="U13" s="87" t="s">
        <v>963</v>
      </c>
      <c r="V13" s="84">
        <f t="shared" si="5"/>
        <v>11</v>
      </c>
      <c r="W13" s="87">
        <v>24</v>
      </c>
      <c r="X13" s="87">
        <v>4</v>
      </c>
      <c r="Y13" s="84">
        <f t="shared" si="6"/>
        <v>15</v>
      </c>
    </row>
    <row r="14" spans="1:25" s="87" customFormat="1" x14ac:dyDescent="0.2">
      <c r="A14" s="90">
        <f t="shared" si="0"/>
        <v>12</v>
      </c>
      <c r="B14" s="87" t="s">
        <v>714</v>
      </c>
      <c r="C14" s="93" t="s">
        <v>1643</v>
      </c>
      <c r="D14" s="87">
        <v>60</v>
      </c>
      <c r="E14" s="87">
        <v>6</v>
      </c>
      <c r="F14" s="87">
        <v>2</v>
      </c>
      <c r="H14" s="89">
        <f t="shared" si="1"/>
        <v>68</v>
      </c>
      <c r="I14" s="90">
        <v>9</v>
      </c>
      <c r="J14" s="91">
        <f t="shared" si="2"/>
        <v>7.5555555555555554</v>
      </c>
      <c r="K14" s="84">
        <f t="shared" si="3"/>
        <v>35</v>
      </c>
      <c r="L14" s="168"/>
      <c r="M14" s="87">
        <v>301</v>
      </c>
      <c r="N14" s="94">
        <f>H14/M14</f>
        <v>0.22591362126245848</v>
      </c>
      <c r="S14" s="92" t="s">
        <v>936</v>
      </c>
      <c r="T14" s="99">
        <v>28</v>
      </c>
      <c r="U14" s="87" t="s">
        <v>953</v>
      </c>
      <c r="V14" s="84">
        <f t="shared" si="5"/>
        <v>11</v>
      </c>
      <c r="W14" s="87">
        <v>23</v>
      </c>
      <c r="X14" s="87">
        <v>5</v>
      </c>
      <c r="Y14" s="84">
        <f t="shared" si="6"/>
        <v>18</v>
      </c>
    </row>
    <row r="15" spans="1:25" s="87" customFormat="1" x14ac:dyDescent="0.2">
      <c r="A15" s="90">
        <f t="shared" si="0"/>
        <v>13</v>
      </c>
      <c r="B15" s="87" t="s">
        <v>715</v>
      </c>
      <c r="C15" s="93" t="s">
        <v>1644</v>
      </c>
      <c r="D15" s="87">
        <v>55</v>
      </c>
      <c r="E15" s="87">
        <v>4</v>
      </c>
      <c r="F15" s="87">
        <v>5</v>
      </c>
      <c r="H15" s="89">
        <f t="shared" si="1"/>
        <v>64</v>
      </c>
      <c r="I15" s="90">
        <v>6</v>
      </c>
      <c r="J15" s="91">
        <f t="shared" si="2"/>
        <v>10.666666666666666</v>
      </c>
      <c r="K15" s="84">
        <f t="shared" si="3"/>
        <v>24</v>
      </c>
      <c r="L15" s="168"/>
      <c r="M15" s="87">
        <v>199</v>
      </c>
      <c r="N15" s="94">
        <f>H14/M15</f>
        <v>0.34170854271356782</v>
      </c>
      <c r="S15" s="92" t="s">
        <v>937</v>
      </c>
      <c r="T15" s="99">
        <v>28</v>
      </c>
      <c r="U15" s="87" t="s">
        <v>962</v>
      </c>
      <c r="V15" s="84">
        <f t="shared" si="5"/>
        <v>11</v>
      </c>
      <c r="W15" s="87">
        <v>27</v>
      </c>
      <c r="X15" s="87">
        <v>1</v>
      </c>
      <c r="Y15" s="84">
        <f t="shared" si="6"/>
        <v>7</v>
      </c>
    </row>
    <row r="16" spans="1:25" s="87" customFormat="1" x14ac:dyDescent="0.2">
      <c r="A16" s="90">
        <f t="shared" si="0"/>
        <v>13</v>
      </c>
      <c r="B16" s="87" t="s">
        <v>434</v>
      </c>
      <c r="C16" s="93" t="s">
        <v>34</v>
      </c>
      <c r="D16" s="87">
        <v>53</v>
      </c>
      <c r="E16" s="87">
        <v>7</v>
      </c>
      <c r="F16" s="87">
        <v>4</v>
      </c>
      <c r="H16" s="89">
        <f t="shared" si="1"/>
        <v>64</v>
      </c>
      <c r="I16" s="90">
        <v>9</v>
      </c>
      <c r="J16" s="91">
        <f t="shared" si="2"/>
        <v>7.1111111111111107</v>
      </c>
      <c r="K16" s="84">
        <f t="shared" si="3"/>
        <v>38</v>
      </c>
      <c r="L16" s="168"/>
      <c r="M16" s="87">
        <v>435</v>
      </c>
      <c r="N16" s="94">
        <f>H15/M16</f>
        <v>0.14712643678160919</v>
      </c>
      <c r="S16" s="92" t="s">
        <v>938</v>
      </c>
      <c r="T16" s="99">
        <v>27</v>
      </c>
      <c r="U16" s="87" t="s">
        <v>960</v>
      </c>
      <c r="V16" s="84">
        <f t="shared" si="5"/>
        <v>14</v>
      </c>
      <c r="W16" s="87">
        <v>26</v>
      </c>
      <c r="X16" s="87">
        <v>1</v>
      </c>
      <c r="Y16" s="84">
        <f t="shared" si="6"/>
        <v>8</v>
      </c>
    </row>
    <row r="17" spans="1:25" s="87" customFormat="1" x14ac:dyDescent="0.2">
      <c r="A17" s="90">
        <f t="shared" si="0"/>
        <v>15</v>
      </c>
      <c r="B17" s="87" t="s">
        <v>716</v>
      </c>
      <c r="C17" s="93" t="s">
        <v>35</v>
      </c>
      <c r="D17" s="87">
        <v>56</v>
      </c>
      <c r="E17" s="87">
        <v>5</v>
      </c>
      <c r="H17" s="89">
        <f t="shared" si="1"/>
        <v>61</v>
      </c>
      <c r="I17" s="90">
        <v>5</v>
      </c>
      <c r="J17" s="91">
        <f t="shared" si="2"/>
        <v>12.2</v>
      </c>
      <c r="K17" s="84">
        <f t="shared" si="3"/>
        <v>18</v>
      </c>
      <c r="L17" s="168"/>
      <c r="M17" s="87">
        <v>159</v>
      </c>
      <c r="N17" s="94">
        <f>H16/M17</f>
        <v>0.40251572327044027</v>
      </c>
      <c r="S17" s="92" t="s">
        <v>939</v>
      </c>
      <c r="T17" s="99">
        <v>26</v>
      </c>
      <c r="U17" s="87" t="s">
        <v>1102</v>
      </c>
      <c r="V17" s="84">
        <f t="shared" si="5"/>
        <v>15</v>
      </c>
      <c r="W17" s="87">
        <v>24</v>
      </c>
      <c r="X17" s="87">
        <v>2</v>
      </c>
      <c r="Y17" s="84">
        <f t="shared" si="6"/>
        <v>15</v>
      </c>
    </row>
    <row r="18" spans="1:25" s="87" customFormat="1" ht="22.5" x14ac:dyDescent="0.2">
      <c r="A18" s="90">
        <f t="shared" si="0"/>
        <v>16</v>
      </c>
      <c r="B18" s="87" t="s">
        <v>1088</v>
      </c>
      <c r="C18" s="88" t="s">
        <v>1645</v>
      </c>
      <c r="D18" s="87">
        <v>50</v>
      </c>
      <c r="E18" s="87">
        <v>3</v>
      </c>
      <c r="G18" s="87">
        <v>6</v>
      </c>
      <c r="H18" s="89">
        <f t="shared" si="1"/>
        <v>59</v>
      </c>
      <c r="I18" s="90">
        <v>6</v>
      </c>
      <c r="J18" s="91">
        <f t="shared" si="2"/>
        <v>9.8333333333333339</v>
      </c>
      <c r="K18" s="84">
        <f t="shared" si="3"/>
        <v>27</v>
      </c>
      <c r="L18" s="168"/>
      <c r="M18" s="87">
        <v>380</v>
      </c>
      <c r="N18" s="94">
        <f>H17/M18</f>
        <v>0.16052631578947368</v>
      </c>
      <c r="S18" s="92" t="s">
        <v>940</v>
      </c>
      <c r="T18" s="99">
        <v>25</v>
      </c>
      <c r="U18" s="87" t="s">
        <v>959</v>
      </c>
      <c r="V18" s="84">
        <f t="shared" si="5"/>
        <v>16</v>
      </c>
      <c r="W18" s="87">
        <v>25</v>
      </c>
      <c r="X18" s="87">
        <v>0</v>
      </c>
      <c r="Y18" s="84">
        <f t="shared" si="6"/>
        <v>12</v>
      </c>
    </row>
    <row r="19" spans="1:25" s="87" customFormat="1" x14ac:dyDescent="0.2">
      <c r="A19" s="90">
        <f t="shared" si="0"/>
        <v>17</v>
      </c>
      <c r="B19" s="87" t="s">
        <v>440</v>
      </c>
      <c r="C19" s="93" t="s">
        <v>1646</v>
      </c>
      <c r="D19" s="87">
        <v>55</v>
      </c>
      <c r="E19" s="87">
        <v>3</v>
      </c>
      <c r="H19" s="89">
        <f>SUM(D19:G19)</f>
        <v>58</v>
      </c>
      <c r="I19" s="90">
        <v>11</v>
      </c>
      <c r="J19" s="91">
        <f>H19/I19</f>
        <v>5.2727272727272725</v>
      </c>
      <c r="K19" s="84">
        <f t="shared" si="3"/>
        <v>48</v>
      </c>
      <c r="L19" s="168"/>
      <c r="S19" s="92" t="s">
        <v>941</v>
      </c>
      <c r="T19" s="99">
        <v>25</v>
      </c>
      <c r="U19" s="87" t="s">
        <v>951</v>
      </c>
      <c r="V19" s="84">
        <f t="shared" si="5"/>
        <v>16</v>
      </c>
      <c r="W19" s="87">
        <v>25</v>
      </c>
      <c r="X19" s="87">
        <v>0</v>
      </c>
      <c r="Y19" s="84">
        <f t="shared" si="6"/>
        <v>12</v>
      </c>
    </row>
    <row r="20" spans="1:25" s="87" customFormat="1" x14ac:dyDescent="0.2">
      <c r="A20" s="90">
        <f t="shared" si="0"/>
        <v>17</v>
      </c>
      <c r="B20" s="87" t="s">
        <v>725</v>
      </c>
      <c r="C20" s="93" t="s">
        <v>1224</v>
      </c>
      <c r="D20" s="87">
        <v>49</v>
      </c>
      <c r="E20" s="87">
        <v>7</v>
      </c>
      <c r="G20" s="87">
        <v>2</v>
      </c>
      <c r="H20" s="89">
        <f>SUM(D20:G20)</f>
        <v>58</v>
      </c>
      <c r="I20" s="90">
        <v>3</v>
      </c>
      <c r="J20" s="91">
        <f>H20/I20</f>
        <v>19.333333333333332</v>
      </c>
      <c r="K20" s="84">
        <f t="shared" si="3"/>
        <v>8</v>
      </c>
      <c r="L20" s="168"/>
      <c r="S20" s="87" t="s">
        <v>926</v>
      </c>
      <c r="T20" s="99">
        <v>25</v>
      </c>
      <c r="U20" s="87" t="s">
        <v>951</v>
      </c>
      <c r="V20" s="84">
        <f t="shared" si="5"/>
        <v>16</v>
      </c>
      <c r="W20" s="87">
        <v>22</v>
      </c>
      <c r="X20" s="87">
        <v>3</v>
      </c>
      <c r="Y20" s="84">
        <f t="shared" si="6"/>
        <v>20</v>
      </c>
    </row>
    <row r="21" spans="1:25" s="87" customFormat="1" x14ac:dyDescent="0.2">
      <c r="A21" s="90">
        <f t="shared" si="0"/>
        <v>19</v>
      </c>
      <c r="B21" s="87" t="s">
        <v>717</v>
      </c>
      <c r="C21" s="93" t="s">
        <v>1647</v>
      </c>
      <c r="D21" s="87">
        <v>49</v>
      </c>
      <c r="E21" s="87">
        <v>3</v>
      </c>
      <c r="F21" s="87">
        <v>1</v>
      </c>
      <c r="G21" s="87">
        <v>2</v>
      </c>
      <c r="H21" s="89">
        <f>SUM(D21:G21)</f>
        <v>55</v>
      </c>
      <c r="I21" s="90">
        <v>5</v>
      </c>
      <c r="J21" s="91">
        <f>H21/I21</f>
        <v>11</v>
      </c>
      <c r="K21" s="84">
        <f t="shared" si="3"/>
        <v>22</v>
      </c>
      <c r="L21" s="168"/>
      <c r="S21" s="87" t="s">
        <v>942</v>
      </c>
      <c r="T21" s="99">
        <v>25</v>
      </c>
      <c r="U21" s="87" t="s">
        <v>958</v>
      </c>
      <c r="V21" s="84">
        <f t="shared" si="5"/>
        <v>16</v>
      </c>
      <c r="W21" s="87">
        <v>19</v>
      </c>
      <c r="X21" s="87">
        <v>6</v>
      </c>
      <c r="Y21" s="84">
        <f t="shared" si="6"/>
        <v>31</v>
      </c>
    </row>
    <row r="22" spans="1:25" s="87" customFormat="1" x14ac:dyDescent="0.2">
      <c r="A22" s="90">
        <f t="shared" si="0"/>
        <v>20</v>
      </c>
      <c r="B22" s="87" t="s">
        <v>718</v>
      </c>
      <c r="C22" s="93" t="s">
        <v>1648</v>
      </c>
      <c r="D22" s="87">
        <v>49</v>
      </c>
      <c r="E22" s="87">
        <v>2</v>
      </c>
      <c r="F22" s="87">
        <v>3</v>
      </c>
      <c r="H22" s="89">
        <f>SUM(D22:G22)</f>
        <v>54</v>
      </c>
      <c r="I22" s="90">
        <v>5</v>
      </c>
      <c r="J22" s="91">
        <f>H22/I22</f>
        <v>10.8</v>
      </c>
      <c r="K22" s="84">
        <f t="shared" si="3"/>
        <v>23</v>
      </c>
      <c r="L22" s="168"/>
      <c r="S22" s="87" t="s">
        <v>943</v>
      </c>
      <c r="T22" s="99">
        <v>25</v>
      </c>
      <c r="U22" s="87" t="s">
        <v>955</v>
      </c>
      <c r="V22" s="84">
        <f t="shared" si="5"/>
        <v>16</v>
      </c>
      <c r="W22" s="87">
        <v>23</v>
      </c>
      <c r="X22" s="87">
        <v>2</v>
      </c>
      <c r="Y22" s="84">
        <f t="shared" si="6"/>
        <v>18</v>
      </c>
    </row>
    <row r="23" spans="1:25" s="87" customFormat="1" x14ac:dyDescent="0.2">
      <c r="A23" s="90">
        <f t="shared" si="0"/>
        <v>21</v>
      </c>
      <c r="B23" s="87" t="s">
        <v>722</v>
      </c>
      <c r="C23" s="93" t="s">
        <v>1649</v>
      </c>
      <c r="D23" s="87">
        <v>40</v>
      </c>
      <c r="F23" s="87">
        <v>1</v>
      </c>
      <c r="G23" s="87">
        <v>7</v>
      </c>
      <c r="H23" s="89">
        <f t="shared" si="1"/>
        <v>48</v>
      </c>
      <c r="I23" s="90">
        <v>4</v>
      </c>
      <c r="J23" s="91">
        <f t="shared" si="2"/>
        <v>12</v>
      </c>
      <c r="K23" s="84">
        <f t="shared" si="3"/>
        <v>19</v>
      </c>
      <c r="L23" s="168"/>
      <c r="S23" s="87" t="s">
        <v>937</v>
      </c>
      <c r="T23" s="99">
        <v>25</v>
      </c>
      <c r="U23" s="87" t="s">
        <v>955</v>
      </c>
      <c r="V23" s="84">
        <f t="shared" si="5"/>
        <v>16</v>
      </c>
      <c r="W23" s="87">
        <v>25</v>
      </c>
      <c r="X23" s="87">
        <v>0</v>
      </c>
      <c r="Y23" s="84">
        <f t="shared" si="6"/>
        <v>12</v>
      </c>
    </row>
    <row r="24" spans="1:25" s="87" customFormat="1" x14ac:dyDescent="0.2">
      <c r="A24" s="90">
        <f t="shared" si="0"/>
        <v>21</v>
      </c>
      <c r="B24" s="87" t="s">
        <v>719</v>
      </c>
      <c r="C24" s="93" t="s">
        <v>1650</v>
      </c>
      <c r="D24" s="87">
        <v>47</v>
      </c>
      <c r="E24" s="87">
        <v>1</v>
      </c>
      <c r="H24" s="89">
        <f t="shared" si="1"/>
        <v>48</v>
      </c>
      <c r="I24" s="90">
        <v>6</v>
      </c>
      <c r="J24" s="91">
        <f t="shared" si="2"/>
        <v>8</v>
      </c>
      <c r="K24" s="84">
        <f t="shared" si="3"/>
        <v>32</v>
      </c>
      <c r="L24" s="168"/>
      <c r="S24" s="87" t="s">
        <v>944</v>
      </c>
      <c r="T24" s="99">
        <v>25</v>
      </c>
      <c r="U24" s="87" t="s">
        <v>955</v>
      </c>
      <c r="V24" s="84">
        <f t="shared" si="5"/>
        <v>16</v>
      </c>
      <c r="W24" s="87">
        <v>19</v>
      </c>
      <c r="X24" s="87">
        <v>6</v>
      </c>
      <c r="Y24" s="84">
        <f t="shared" si="6"/>
        <v>31</v>
      </c>
    </row>
    <row r="25" spans="1:25" s="87" customFormat="1" x14ac:dyDescent="0.2">
      <c r="A25" s="90">
        <f t="shared" si="0"/>
        <v>21</v>
      </c>
      <c r="B25" s="87" t="s">
        <v>720</v>
      </c>
      <c r="C25" s="93" t="s">
        <v>1651</v>
      </c>
      <c r="D25" s="87">
        <v>43</v>
      </c>
      <c r="E25" s="87">
        <v>3</v>
      </c>
      <c r="F25" s="87">
        <v>2</v>
      </c>
      <c r="H25" s="89">
        <f t="shared" ref="H25:H29" si="7">SUM(D25:G25)</f>
        <v>48</v>
      </c>
      <c r="I25" s="90">
        <v>5</v>
      </c>
      <c r="J25" s="91">
        <f t="shared" ref="J25:J29" si="8">H25/I25</f>
        <v>9.6</v>
      </c>
      <c r="K25" s="84">
        <f t="shared" si="3"/>
        <v>28</v>
      </c>
      <c r="L25" s="168"/>
      <c r="S25" s="2" t="s">
        <v>945</v>
      </c>
      <c r="T25" s="101">
        <v>25</v>
      </c>
      <c r="U25" s="2" t="s">
        <v>957</v>
      </c>
      <c r="V25" s="84">
        <f t="shared" si="5"/>
        <v>16</v>
      </c>
      <c r="W25" s="2">
        <v>24</v>
      </c>
      <c r="X25" s="2">
        <v>1</v>
      </c>
      <c r="Y25" s="84">
        <f t="shared" si="6"/>
        <v>15</v>
      </c>
    </row>
    <row r="26" spans="1:25" s="82" customFormat="1" x14ac:dyDescent="0.2">
      <c r="A26" s="90">
        <f t="shared" si="0"/>
        <v>21</v>
      </c>
      <c r="B26" s="87" t="s">
        <v>721</v>
      </c>
      <c r="C26" s="93" t="s">
        <v>1652</v>
      </c>
      <c r="D26" s="87">
        <v>42</v>
      </c>
      <c r="E26" s="87">
        <v>6</v>
      </c>
      <c r="F26" s="87"/>
      <c r="G26" s="87"/>
      <c r="H26" s="89">
        <f t="shared" si="7"/>
        <v>48</v>
      </c>
      <c r="I26" s="90">
        <v>5</v>
      </c>
      <c r="J26" s="91">
        <f t="shared" si="8"/>
        <v>9.6</v>
      </c>
      <c r="K26" s="84">
        <f t="shared" si="3"/>
        <v>28</v>
      </c>
      <c r="L26" s="168"/>
      <c r="R26" s="87"/>
      <c r="S26" s="2" t="s">
        <v>946</v>
      </c>
      <c r="T26" s="101">
        <v>25</v>
      </c>
      <c r="U26" s="2" t="s">
        <v>956</v>
      </c>
      <c r="V26" s="84">
        <f t="shared" si="5"/>
        <v>16</v>
      </c>
      <c r="W26" s="2">
        <v>22</v>
      </c>
      <c r="X26" s="2">
        <v>3</v>
      </c>
      <c r="Y26" s="84">
        <f t="shared" si="6"/>
        <v>20</v>
      </c>
    </row>
    <row r="27" spans="1:25" s="87" customFormat="1" x14ac:dyDescent="0.2">
      <c r="A27" s="90">
        <f t="shared" si="0"/>
        <v>25</v>
      </c>
      <c r="B27" s="87" t="s">
        <v>723</v>
      </c>
      <c r="C27" s="93" t="s">
        <v>37</v>
      </c>
      <c r="D27" s="87">
        <v>46</v>
      </c>
      <c r="F27" s="87">
        <v>1</v>
      </c>
      <c r="H27" s="89">
        <f t="shared" si="7"/>
        <v>47</v>
      </c>
      <c r="I27" s="90">
        <v>2</v>
      </c>
      <c r="J27" s="91">
        <f t="shared" si="8"/>
        <v>23.5</v>
      </c>
      <c r="K27" s="84">
        <f t="shared" si="3"/>
        <v>3</v>
      </c>
      <c r="L27" s="118"/>
      <c r="S27" s="2" t="s">
        <v>1103</v>
      </c>
      <c r="T27" s="101">
        <v>25</v>
      </c>
      <c r="U27" s="2" t="s">
        <v>1104</v>
      </c>
      <c r="V27" s="84">
        <f t="shared" si="5"/>
        <v>16</v>
      </c>
      <c r="W27" s="2">
        <v>20</v>
      </c>
      <c r="X27" s="2">
        <v>5</v>
      </c>
      <c r="Y27" s="84">
        <f t="shared" si="6"/>
        <v>29</v>
      </c>
    </row>
    <row r="28" spans="1:25" s="87" customFormat="1" x14ac:dyDescent="0.2">
      <c r="A28" s="90">
        <f t="shared" si="0"/>
        <v>26</v>
      </c>
      <c r="B28" s="87" t="s">
        <v>724</v>
      </c>
      <c r="C28" s="93" t="s">
        <v>39</v>
      </c>
      <c r="D28" s="87">
        <v>39</v>
      </c>
      <c r="E28" s="87">
        <v>2</v>
      </c>
      <c r="F28" s="87">
        <v>3</v>
      </c>
      <c r="H28" s="89">
        <f t="shared" si="7"/>
        <v>44</v>
      </c>
      <c r="I28" s="90">
        <v>7</v>
      </c>
      <c r="J28" s="91">
        <f t="shared" si="8"/>
        <v>6.2857142857142856</v>
      </c>
      <c r="K28" s="84">
        <f t="shared" si="3"/>
        <v>43</v>
      </c>
      <c r="L28" s="118"/>
      <c r="S28" s="2" t="s">
        <v>947</v>
      </c>
      <c r="T28" s="101">
        <v>24</v>
      </c>
      <c r="U28" s="2" t="s">
        <v>955</v>
      </c>
      <c r="V28" s="84">
        <f t="shared" si="5"/>
        <v>26</v>
      </c>
      <c r="W28" s="2">
        <v>21</v>
      </c>
      <c r="X28" s="2">
        <v>3</v>
      </c>
      <c r="Y28" s="84">
        <f t="shared" si="6"/>
        <v>25</v>
      </c>
    </row>
    <row r="29" spans="1:25" s="87" customFormat="1" x14ac:dyDescent="0.2">
      <c r="A29" s="90">
        <f t="shared" si="0"/>
        <v>27</v>
      </c>
      <c r="B29" s="87" t="s">
        <v>726</v>
      </c>
      <c r="C29" s="93" t="s">
        <v>42</v>
      </c>
      <c r="D29" s="87">
        <v>37</v>
      </c>
      <c r="E29" s="87">
        <v>2</v>
      </c>
      <c r="F29" s="87">
        <v>1</v>
      </c>
      <c r="G29" s="87">
        <v>2</v>
      </c>
      <c r="H29" s="89">
        <f t="shared" si="7"/>
        <v>42</v>
      </c>
      <c r="I29" s="90">
        <v>4</v>
      </c>
      <c r="J29" s="91">
        <f t="shared" si="8"/>
        <v>10.5</v>
      </c>
      <c r="K29" s="84">
        <f t="shared" si="3"/>
        <v>25</v>
      </c>
      <c r="L29" s="118"/>
      <c r="S29" s="92" t="s">
        <v>966</v>
      </c>
      <c r="T29" s="99">
        <v>22</v>
      </c>
      <c r="U29" s="87" t="s">
        <v>965</v>
      </c>
      <c r="V29" s="84">
        <f t="shared" si="5"/>
        <v>27</v>
      </c>
      <c r="W29" s="87">
        <v>22</v>
      </c>
      <c r="X29" s="87">
        <v>0</v>
      </c>
      <c r="Y29" s="84">
        <f t="shared" si="6"/>
        <v>20</v>
      </c>
    </row>
    <row r="30" spans="1:25" s="87" customFormat="1" x14ac:dyDescent="0.2">
      <c r="A30" s="90">
        <f t="shared" si="0"/>
        <v>27</v>
      </c>
      <c r="B30" s="87" t="s">
        <v>442</v>
      </c>
      <c r="C30" s="93" t="s">
        <v>40</v>
      </c>
      <c r="D30" s="87">
        <v>40</v>
      </c>
      <c r="E30" s="87">
        <v>2</v>
      </c>
      <c r="H30" s="89">
        <f t="shared" ref="H30:H51" si="9">SUM(D30:G30)</f>
        <v>42</v>
      </c>
      <c r="I30" s="90">
        <v>9</v>
      </c>
      <c r="J30" s="91">
        <f t="shared" ref="J30:J51" si="10">H30/I30</f>
        <v>4.666666666666667</v>
      </c>
      <c r="K30" s="84">
        <f t="shared" ref="K30:K51" si="11">RANK(J30,J$3:J$53,0)</f>
        <v>49</v>
      </c>
      <c r="L30" s="168"/>
      <c r="S30" s="78" t="s">
        <v>969</v>
      </c>
      <c r="T30" s="101">
        <v>22</v>
      </c>
      <c r="U30" s="2" t="s">
        <v>950</v>
      </c>
      <c r="V30" s="84">
        <f t="shared" si="5"/>
        <v>27</v>
      </c>
      <c r="W30" s="2">
        <v>21</v>
      </c>
      <c r="X30" s="2">
        <v>1</v>
      </c>
      <c r="Y30" s="84">
        <f t="shared" si="6"/>
        <v>25</v>
      </c>
    </row>
    <row r="31" spans="1:25" s="87" customFormat="1" x14ac:dyDescent="0.2">
      <c r="A31" s="90">
        <f t="shared" si="0"/>
        <v>29</v>
      </c>
      <c r="B31" s="87" t="s">
        <v>727</v>
      </c>
      <c r="C31" s="93" t="s">
        <v>1653</v>
      </c>
      <c r="D31" s="87">
        <v>38</v>
      </c>
      <c r="E31" s="87">
        <v>1</v>
      </c>
      <c r="F31" s="87">
        <v>2</v>
      </c>
      <c r="H31" s="89">
        <f t="shared" si="9"/>
        <v>41</v>
      </c>
      <c r="I31" s="90">
        <v>5</v>
      </c>
      <c r="J31" s="91">
        <f t="shared" si="10"/>
        <v>8.1999999999999993</v>
      </c>
      <c r="K31" s="84">
        <f t="shared" si="11"/>
        <v>31</v>
      </c>
      <c r="L31" s="118"/>
      <c r="S31" s="78" t="s">
        <v>971</v>
      </c>
      <c r="T31" s="101">
        <v>22</v>
      </c>
      <c r="U31" s="2" t="s">
        <v>970</v>
      </c>
      <c r="V31" s="84">
        <f t="shared" si="5"/>
        <v>27</v>
      </c>
      <c r="W31" s="2">
        <v>22</v>
      </c>
      <c r="X31" s="2">
        <v>0</v>
      </c>
      <c r="Y31" s="84">
        <f t="shared" si="6"/>
        <v>20</v>
      </c>
    </row>
    <row r="32" spans="1:25" s="87" customFormat="1" x14ac:dyDescent="0.2">
      <c r="A32" s="90">
        <f t="shared" si="0"/>
        <v>30</v>
      </c>
      <c r="B32" s="87" t="s">
        <v>728</v>
      </c>
      <c r="C32" s="93" t="s">
        <v>41</v>
      </c>
      <c r="D32" s="87">
        <v>38</v>
      </c>
      <c r="E32" s="87">
        <v>2</v>
      </c>
      <c r="H32" s="89">
        <f t="shared" si="9"/>
        <v>40</v>
      </c>
      <c r="I32" s="90">
        <v>6</v>
      </c>
      <c r="J32" s="91">
        <f t="shared" si="10"/>
        <v>6.666666666666667</v>
      </c>
      <c r="K32" s="84">
        <f t="shared" si="11"/>
        <v>40</v>
      </c>
      <c r="L32" s="118"/>
      <c r="S32" s="78" t="s">
        <v>964</v>
      </c>
      <c r="T32" s="101">
        <v>21</v>
      </c>
      <c r="U32" s="2" t="s">
        <v>959</v>
      </c>
      <c r="V32" s="84">
        <f t="shared" si="5"/>
        <v>30</v>
      </c>
      <c r="W32" s="2">
        <v>21</v>
      </c>
      <c r="X32" s="2">
        <v>0</v>
      </c>
      <c r="Y32" s="84">
        <f t="shared" si="6"/>
        <v>25</v>
      </c>
    </row>
    <row r="33" spans="1:25" s="87" customFormat="1" x14ac:dyDescent="0.2">
      <c r="A33" s="90">
        <f t="shared" si="0"/>
        <v>30</v>
      </c>
      <c r="B33" s="87" t="s">
        <v>729</v>
      </c>
      <c r="C33" s="93" t="s">
        <v>43</v>
      </c>
      <c r="D33" s="87">
        <v>34</v>
      </c>
      <c r="E33" s="87">
        <v>4</v>
      </c>
      <c r="F33" s="87">
        <v>2</v>
      </c>
      <c r="H33" s="89">
        <f t="shared" si="9"/>
        <v>40</v>
      </c>
      <c r="I33" s="90">
        <v>2</v>
      </c>
      <c r="J33" s="91">
        <f t="shared" si="10"/>
        <v>20</v>
      </c>
      <c r="K33" s="84">
        <f t="shared" si="11"/>
        <v>6</v>
      </c>
      <c r="L33" s="118"/>
      <c r="S33" s="78" t="s">
        <v>968</v>
      </c>
      <c r="T33" s="101">
        <v>21</v>
      </c>
      <c r="U33" s="2" t="s">
        <v>967</v>
      </c>
      <c r="V33" s="84">
        <f t="shared" si="5"/>
        <v>30</v>
      </c>
      <c r="W33" s="2">
        <v>20</v>
      </c>
      <c r="X33" s="2">
        <v>1</v>
      </c>
      <c r="Y33" s="84">
        <f t="shared" si="6"/>
        <v>29</v>
      </c>
    </row>
    <row r="34" spans="1:25" s="87" customFormat="1" x14ac:dyDescent="0.2">
      <c r="A34" s="90">
        <f t="shared" si="0"/>
        <v>30</v>
      </c>
      <c r="B34" s="87" t="s">
        <v>730</v>
      </c>
      <c r="C34" s="93" t="s">
        <v>1654</v>
      </c>
      <c r="D34" s="87">
        <v>34</v>
      </c>
      <c r="E34" s="87">
        <v>4</v>
      </c>
      <c r="F34" s="87">
        <v>2</v>
      </c>
      <c r="H34" s="89">
        <f t="shared" si="9"/>
        <v>40</v>
      </c>
      <c r="I34" s="90">
        <v>5</v>
      </c>
      <c r="J34" s="91">
        <f t="shared" si="10"/>
        <v>8</v>
      </c>
      <c r="K34" s="84">
        <f t="shared" si="11"/>
        <v>32</v>
      </c>
      <c r="L34" s="1"/>
      <c r="S34" s="2" t="s">
        <v>972</v>
      </c>
      <c r="T34" s="101">
        <v>21</v>
      </c>
      <c r="U34" s="2" t="s">
        <v>957</v>
      </c>
      <c r="V34" s="84">
        <f t="shared" si="5"/>
        <v>30</v>
      </c>
      <c r="W34" s="2">
        <v>21</v>
      </c>
      <c r="X34" s="2">
        <v>0</v>
      </c>
      <c r="Y34" s="84">
        <f t="shared" si="6"/>
        <v>25</v>
      </c>
    </row>
    <row r="35" spans="1:25" s="82" customFormat="1" x14ac:dyDescent="0.2">
      <c r="A35" s="90">
        <f t="shared" si="0"/>
        <v>33</v>
      </c>
      <c r="B35" s="87" t="s">
        <v>731</v>
      </c>
      <c r="C35" s="93" t="s">
        <v>44</v>
      </c>
      <c r="D35" s="87">
        <v>38</v>
      </c>
      <c r="E35" s="87"/>
      <c r="F35" s="87">
        <v>1</v>
      </c>
      <c r="G35" s="87"/>
      <c r="H35" s="89">
        <f t="shared" si="9"/>
        <v>39</v>
      </c>
      <c r="I35" s="90">
        <v>2</v>
      </c>
      <c r="J35" s="91">
        <f t="shared" si="10"/>
        <v>19.5</v>
      </c>
      <c r="K35" s="84">
        <f t="shared" si="11"/>
        <v>7</v>
      </c>
      <c r="L35" s="1"/>
      <c r="R35" s="87"/>
      <c r="S35" s="2"/>
      <c r="T35" s="101"/>
      <c r="U35" s="2"/>
      <c r="V35" s="87"/>
      <c r="W35" s="2"/>
      <c r="X35" s="2"/>
      <c r="Y35" s="2"/>
    </row>
    <row r="36" spans="1:25" s="87" customFormat="1" x14ac:dyDescent="0.2">
      <c r="A36" s="90">
        <f t="shared" si="0"/>
        <v>34</v>
      </c>
      <c r="B36" s="87" t="s">
        <v>732</v>
      </c>
      <c r="C36" s="93" t="s">
        <v>45</v>
      </c>
      <c r="D36" s="87">
        <v>31</v>
      </c>
      <c r="E36" s="87">
        <v>3</v>
      </c>
      <c r="F36" s="87">
        <v>1</v>
      </c>
      <c r="G36" s="87">
        <v>3</v>
      </c>
      <c r="H36" s="89">
        <f t="shared" si="9"/>
        <v>38</v>
      </c>
      <c r="I36" s="90">
        <v>5</v>
      </c>
      <c r="J36" s="91">
        <f t="shared" si="10"/>
        <v>7.6</v>
      </c>
      <c r="K36" s="84">
        <f t="shared" si="11"/>
        <v>34</v>
      </c>
      <c r="L36" s="118"/>
      <c r="S36" s="2"/>
      <c r="T36" s="2"/>
      <c r="U36" s="2"/>
      <c r="V36" s="2"/>
      <c r="W36" s="2"/>
      <c r="X36" s="2"/>
      <c r="Y36" s="2"/>
    </row>
    <row r="37" spans="1:25" s="87" customFormat="1" x14ac:dyDescent="0.2">
      <c r="A37" s="172">
        <f t="shared" si="0"/>
        <v>34</v>
      </c>
      <c r="B37" s="173" t="s">
        <v>1637</v>
      </c>
      <c r="C37" s="174" t="s">
        <v>1638</v>
      </c>
      <c r="D37" s="173">
        <v>30</v>
      </c>
      <c r="E37" s="173">
        <v>2</v>
      </c>
      <c r="F37" s="173"/>
      <c r="G37" s="173">
        <v>6</v>
      </c>
      <c r="H37" s="175">
        <f t="shared" si="9"/>
        <v>38</v>
      </c>
      <c r="I37" s="176">
        <v>4</v>
      </c>
      <c r="J37" s="177">
        <f t="shared" si="10"/>
        <v>9.5</v>
      </c>
      <c r="K37" s="178">
        <f t="shared" si="11"/>
        <v>30</v>
      </c>
      <c r="L37" s="118"/>
      <c r="S37" s="2"/>
      <c r="T37" s="2"/>
      <c r="U37" s="2"/>
      <c r="V37" s="2"/>
      <c r="W37" s="2"/>
      <c r="X37" s="2"/>
      <c r="Y37" s="2"/>
    </row>
    <row r="38" spans="1:25" s="87" customFormat="1" x14ac:dyDescent="0.2">
      <c r="A38" s="90">
        <f t="shared" si="0"/>
        <v>36</v>
      </c>
      <c r="B38" s="87" t="s">
        <v>733</v>
      </c>
      <c r="C38" s="93" t="s">
        <v>292</v>
      </c>
      <c r="D38" s="87">
        <v>33</v>
      </c>
      <c r="E38" s="87">
        <v>2</v>
      </c>
      <c r="G38" s="87">
        <v>2</v>
      </c>
      <c r="H38" s="89">
        <f t="shared" si="9"/>
        <v>37</v>
      </c>
      <c r="I38" s="90">
        <v>2</v>
      </c>
      <c r="J38" s="91">
        <f t="shared" si="10"/>
        <v>18.5</v>
      </c>
      <c r="K38" s="84">
        <f t="shared" si="11"/>
        <v>10</v>
      </c>
      <c r="L38" s="168"/>
      <c r="S38" s="2"/>
      <c r="T38" s="2"/>
      <c r="U38" s="2"/>
      <c r="V38" s="2"/>
      <c r="W38" s="2"/>
      <c r="X38" s="2"/>
      <c r="Y38" s="2"/>
    </row>
    <row r="39" spans="1:25" s="87" customFormat="1" x14ac:dyDescent="0.2">
      <c r="A39" s="90">
        <f t="shared" si="0"/>
        <v>36</v>
      </c>
      <c r="B39" s="100" t="s">
        <v>734</v>
      </c>
      <c r="C39" s="93" t="s">
        <v>231</v>
      </c>
      <c r="D39" s="87">
        <v>35</v>
      </c>
      <c r="E39" s="87">
        <v>1</v>
      </c>
      <c r="G39" s="87">
        <v>1</v>
      </c>
      <c r="H39" s="89">
        <f t="shared" si="9"/>
        <v>37</v>
      </c>
      <c r="I39" s="90">
        <v>5</v>
      </c>
      <c r="J39" s="91">
        <f t="shared" si="10"/>
        <v>7.4</v>
      </c>
      <c r="K39" s="84">
        <f t="shared" si="11"/>
        <v>37</v>
      </c>
      <c r="L39" s="168"/>
      <c r="S39" s="2"/>
      <c r="T39" s="2"/>
      <c r="U39" s="2"/>
      <c r="V39" s="2"/>
      <c r="W39" s="2"/>
      <c r="X39" s="2"/>
      <c r="Y39" s="2"/>
    </row>
    <row r="40" spans="1:25" s="87" customFormat="1" x14ac:dyDescent="0.2">
      <c r="A40" s="90">
        <f t="shared" si="0"/>
        <v>36</v>
      </c>
      <c r="B40" s="87" t="s">
        <v>735</v>
      </c>
      <c r="C40" s="93" t="s">
        <v>46</v>
      </c>
      <c r="D40" s="87">
        <v>34</v>
      </c>
      <c r="E40" s="87">
        <v>2</v>
      </c>
      <c r="F40" s="87">
        <v>1</v>
      </c>
      <c r="H40" s="89">
        <f t="shared" si="9"/>
        <v>37</v>
      </c>
      <c r="I40" s="90">
        <v>3</v>
      </c>
      <c r="J40" s="91">
        <f t="shared" si="10"/>
        <v>12.333333333333334</v>
      </c>
      <c r="K40" s="84">
        <f t="shared" si="11"/>
        <v>17</v>
      </c>
      <c r="L40" s="118"/>
      <c r="S40" s="95" t="s">
        <v>1120</v>
      </c>
      <c r="T40" s="2"/>
      <c r="U40" s="2"/>
      <c r="V40" s="2"/>
      <c r="W40" s="2"/>
      <c r="X40" s="2"/>
      <c r="Y40" s="2"/>
    </row>
    <row r="41" spans="1:25" x14ac:dyDescent="0.2">
      <c r="A41" s="90">
        <f t="shared" si="0"/>
        <v>39</v>
      </c>
      <c r="B41" s="87" t="s">
        <v>443</v>
      </c>
      <c r="C41" s="93" t="s">
        <v>47</v>
      </c>
      <c r="D41" s="87">
        <v>32</v>
      </c>
      <c r="E41" s="87">
        <v>3</v>
      </c>
      <c r="F41" s="87">
        <v>1</v>
      </c>
      <c r="G41" s="87"/>
      <c r="H41" s="89">
        <f t="shared" si="9"/>
        <v>36</v>
      </c>
      <c r="I41" s="90">
        <v>8</v>
      </c>
      <c r="J41" s="91">
        <f t="shared" si="10"/>
        <v>4.5</v>
      </c>
      <c r="K41" s="84">
        <f t="shared" si="11"/>
        <v>50</v>
      </c>
      <c r="L41" s="118"/>
      <c r="S41" s="98" t="s">
        <v>61</v>
      </c>
      <c r="T41" s="96" t="s">
        <v>1101</v>
      </c>
      <c r="U41" s="98" t="s">
        <v>18</v>
      </c>
      <c r="V41" s="97" t="s">
        <v>321</v>
      </c>
    </row>
    <row r="42" spans="1:25" x14ac:dyDescent="0.2">
      <c r="A42" s="90">
        <f t="shared" si="0"/>
        <v>40</v>
      </c>
      <c r="B42" s="2" t="s">
        <v>736</v>
      </c>
      <c r="C42" s="23" t="s">
        <v>1655</v>
      </c>
      <c r="D42" s="2">
        <v>30</v>
      </c>
      <c r="E42" s="2">
        <v>3</v>
      </c>
      <c r="F42" s="2">
        <v>2</v>
      </c>
      <c r="H42" s="18">
        <f t="shared" si="9"/>
        <v>35</v>
      </c>
      <c r="I42" s="1">
        <v>5</v>
      </c>
      <c r="J42" s="83">
        <f t="shared" si="10"/>
        <v>7</v>
      </c>
      <c r="K42" s="84">
        <f t="shared" si="11"/>
        <v>39</v>
      </c>
      <c r="L42" s="118"/>
      <c r="S42" s="92" t="s">
        <v>928</v>
      </c>
      <c r="T42" s="99">
        <v>31</v>
      </c>
      <c r="U42" s="87" t="s">
        <v>951</v>
      </c>
      <c r="V42" s="87">
        <f t="shared" ref="V42:V71" si="12">RANK(T42,T$42:T$71,0)</f>
        <v>1</v>
      </c>
      <c r="Y42" s="87"/>
    </row>
    <row r="43" spans="1:25" x14ac:dyDescent="0.2">
      <c r="A43" s="90">
        <f t="shared" si="0"/>
        <v>41</v>
      </c>
      <c r="B43" s="2" t="s">
        <v>738</v>
      </c>
      <c r="C43" s="23" t="s">
        <v>48</v>
      </c>
      <c r="D43" s="2">
        <v>30</v>
      </c>
      <c r="E43" s="2">
        <v>3</v>
      </c>
      <c r="F43" s="2">
        <v>1</v>
      </c>
      <c r="H43" s="18">
        <f t="shared" si="9"/>
        <v>34</v>
      </c>
      <c r="I43" s="1">
        <v>3</v>
      </c>
      <c r="J43" s="83">
        <f t="shared" si="10"/>
        <v>11.333333333333334</v>
      </c>
      <c r="K43" s="84">
        <f t="shared" si="11"/>
        <v>20</v>
      </c>
      <c r="L43" s="118"/>
      <c r="S43" s="92" t="s">
        <v>926</v>
      </c>
      <c r="T43" s="99">
        <v>31</v>
      </c>
      <c r="U43" s="87" t="s">
        <v>950</v>
      </c>
      <c r="V43" s="87">
        <f t="shared" si="12"/>
        <v>1</v>
      </c>
      <c r="Y43" s="87"/>
    </row>
    <row r="44" spans="1:25" x14ac:dyDescent="0.2">
      <c r="A44" s="90">
        <f t="shared" si="0"/>
        <v>41</v>
      </c>
      <c r="B44" s="2" t="s">
        <v>739</v>
      </c>
      <c r="C44" s="23" t="s">
        <v>1656</v>
      </c>
      <c r="D44" s="2">
        <v>27</v>
      </c>
      <c r="E44" s="2">
        <v>4</v>
      </c>
      <c r="F44" s="2">
        <v>3</v>
      </c>
      <c r="H44" s="18">
        <f t="shared" si="9"/>
        <v>34</v>
      </c>
      <c r="I44" s="1">
        <v>3</v>
      </c>
      <c r="J44" s="83">
        <f t="shared" si="10"/>
        <v>11.333333333333334</v>
      </c>
      <c r="K44" s="84">
        <f t="shared" si="11"/>
        <v>20</v>
      </c>
      <c r="L44" s="168"/>
      <c r="R44" s="10"/>
      <c r="S44" s="92" t="s">
        <v>927</v>
      </c>
      <c r="T44" s="99">
        <v>31</v>
      </c>
      <c r="U44" s="87" t="s">
        <v>950</v>
      </c>
      <c r="V44" s="87">
        <f t="shared" si="12"/>
        <v>1</v>
      </c>
    </row>
    <row r="45" spans="1:25" s="87" customFormat="1" x14ac:dyDescent="0.2">
      <c r="A45" s="90">
        <f t="shared" ref="A45:A52" si="13">RANK(H45,H$3:H$52)</f>
        <v>43</v>
      </c>
      <c r="B45" s="2" t="s">
        <v>740</v>
      </c>
      <c r="C45" s="23" t="s">
        <v>49</v>
      </c>
      <c r="D45" s="2">
        <v>30</v>
      </c>
      <c r="E45" s="2">
        <v>3</v>
      </c>
      <c r="F45" s="2"/>
      <c r="G45" s="2"/>
      <c r="H45" s="18">
        <f t="shared" si="9"/>
        <v>33</v>
      </c>
      <c r="I45" s="1">
        <v>5</v>
      </c>
      <c r="J45" s="83">
        <f t="shared" si="10"/>
        <v>6.6</v>
      </c>
      <c r="K45" s="84">
        <f t="shared" si="11"/>
        <v>41</v>
      </c>
      <c r="L45" s="168"/>
      <c r="S45" s="92" t="s">
        <v>931</v>
      </c>
      <c r="T45" s="99">
        <v>29</v>
      </c>
      <c r="U45" s="87" t="s">
        <v>953</v>
      </c>
      <c r="V45" s="87">
        <f t="shared" si="12"/>
        <v>4</v>
      </c>
      <c r="W45" s="2"/>
      <c r="X45" s="2"/>
    </row>
    <row r="46" spans="1:25" x14ac:dyDescent="0.2">
      <c r="A46" s="90">
        <f t="shared" si="13"/>
        <v>43</v>
      </c>
      <c r="B46" s="2" t="s">
        <v>1164</v>
      </c>
      <c r="C46" s="23" t="s">
        <v>1165</v>
      </c>
      <c r="D46" s="2">
        <v>27</v>
      </c>
      <c r="E46" s="2">
        <v>4</v>
      </c>
      <c r="G46" s="2">
        <v>2</v>
      </c>
      <c r="H46" s="18">
        <f t="shared" si="9"/>
        <v>33</v>
      </c>
      <c r="I46" s="1">
        <v>2</v>
      </c>
      <c r="J46" s="83">
        <f t="shared" si="10"/>
        <v>16.5</v>
      </c>
      <c r="K46" s="84">
        <f t="shared" si="11"/>
        <v>13</v>
      </c>
      <c r="L46" s="168"/>
      <c r="S46" s="92" t="s">
        <v>932</v>
      </c>
      <c r="T46" s="99">
        <v>29</v>
      </c>
      <c r="U46" s="87" t="s">
        <v>953</v>
      </c>
      <c r="V46" s="87">
        <f t="shared" si="12"/>
        <v>4</v>
      </c>
      <c r="Y46" s="87"/>
    </row>
    <row r="47" spans="1:25" x14ac:dyDescent="0.2">
      <c r="A47" s="90">
        <f t="shared" si="13"/>
        <v>43</v>
      </c>
      <c r="B47" s="2" t="s">
        <v>1167</v>
      </c>
      <c r="C47" s="23" t="s">
        <v>1223</v>
      </c>
      <c r="D47" s="2">
        <v>29</v>
      </c>
      <c r="E47" s="2">
        <v>3</v>
      </c>
      <c r="G47" s="2">
        <v>1</v>
      </c>
      <c r="H47" s="18">
        <f t="shared" si="9"/>
        <v>33</v>
      </c>
      <c r="I47" s="1">
        <v>6</v>
      </c>
      <c r="J47" s="83">
        <f t="shared" si="10"/>
        <v>5.5</v>
      </c>
      <c r="K47" s="84">
        <f t="shared" si="11"/>
        <v>46</v>
      </c>
      <c r="L47" s="168"/>
      <c r="S47" s="92" t="s">
        <v>933</v>
      </c>
      <c r="T47" s="99">
        <v>28</v>
      </c>
      <c r="U47" s="87" t="s">
        <v>954</v>
      </c>
      <c r="V47" s="87">
        <f t="shared" si="12"/>
        <v>6</v>
      </c>
    </row>
    <row r="48" spans="1:25" x14ac:dyDescent="0.2">
      <c r="A48" s="90">
        <f t="shared" si="13"/>
        <v>46</v>
      </c>
      <c r="B48" s="2" t="s">
        <v>741</v>
      </c>
      <c r="C48" s="23" t="s">
        <v>1657</v>
      </c>
      <c r="D48" s="2">
        <v>30</v>
      </c>
      <c r="E48" s="2">
        <v>2</v>
      </c>
      <c r="H48" s="18">
        <f t="shared" si="9"/>
        <v>32</v>
      </c>
      <c r="I48" s="1">
        <v>6</v>
      </c>
      <c r="J48" s="83">
        <f t="shared" si="10"/>
        <v>5.333333333333333</v>
      </c>
      <c r="K48" s="84">
        <f t="shared" si="11"/>
        <v>47</v>
      </c>
      <c r="L48" s="168"/>
      <c r="S48" s="92" t="s">
        <v>937</v>
      </c>
      <c r="T48" s="99">
        <v>27</v>
      </c>
      <c r="U48" s="87" t="s">
        <v>962</v>
      </c>
      <c r="V48" s="87">
        <f t="shared" si="12"/>
        <v>7</v>
      </c>
      <c r="Y48" s="87"/>
    </row>
    <row r="49" spans="1:25" x14ac:dyDescent="0.2">
      <c r="A49" s="90">
        <f t="shared" si="13"/>
        <v>47</v>
      </c>
      <c r="B49" s="2" t="s">
        <v>742</v>
      </c>
      <c r="C49" s="23" t="s">
        <v>1658</v>
      </c>
      <c r="D49" s="2">
        <v>29</v>
      </c>
      <c r="E49" s="2">
        <v>1</v>
      </c>
      <c r="F49" s="2">
        <v>1</v>
      </c>
      <c r="H49" s="18">
        <f t="shared" si="9"/>
        <v>31</v>
      </c>
      <c r="I49" s="1">
        <v>5</v>
      </c>
      <c r="J49" s="83">
        <f t="shared" si="10"/>
        <v>6.2</v>
      </c>
      <c r="K49" s="84">
        <f t="shared" si="11"/>
        <v>44</v>
      </c>
      <c r="L49" s="168"/>
      <c r="S49" s="92" t="s">
        <v>938</v>
      </c>
      <c r="T49" s="99">
        <v>26</v>
      </c>
      <c r="U49" s="87" t="s">
        <v>960</v>
      </c>
      <c r="V49" s="87">
        <f t="shared" si="12"/>
        <v>8</v>
      </c>
      <c r="Y49" s="87"/>
    </row>
    <row r="50" spans="1:25" x14ac:dyDescent="0.2">
      <c r="A50" s="90">
        <f t="shared" si="13"/>
        <v>47</v>
      </c>
      <c r="B50" s="2" t="s">
        <v>743</v>
      </c>
      <c r="C50" s="23" t="s">
        <v>1659</v>
      </c>
      <c r="D50" s="2">
        <v>30</v>
      </c>
      <c r="F50" s="2">
        <v>1</v>
      </c>
      <c r="H50" s="18">
        <f t="shared" si="9"/>
        <v>31</v>
      </c>
      <c r="I50" s="1">
        <v>5</v>
      </c>
      <c r="J50" s="83">
        <f t="shared" si="10"/>
        <v>6.2</v>
      </c>
      <c r="K50" s="84">
        <f t="shared" si="11"/>
        <v>44</v>
      </c>
      <c r="L50" s="118"/>
      <c r="S50" s="92" t="s">
        <v>930</v>
      </c>
      <c r="T50" s="99">
        <v>26</v>
      </c>
      <c r="U50" s="87" t="s">
        <v>952</v>
      </c>
      <c r="V50" s="87">
        <f t="shared" si="12"/>
        <v>8</v>
      </c>
      <c r="Y50" s="87"/>
    </row>
    <row r="51" spans="1:25" x14ac:dyDescent="0.2">
      <c r="A51" s="90">
        <f t="shared" si="13"/>
        <v>47</v>
      </c>
      <c r="B51" s="2" t="s">
        <v>744</v>
      </c>
      <c r="C51" s="23" t="s">
        <v>1660</v>
      </c>
      <c r="D51" s="2">
        <v>28</v>
      </c>
      <c r="E51" s="2">
        <v>2</v>
      </c>
      <c r="F51" s="2">
        <v>1</v>
      </c>
      <c r="H51" s="18">
        <f t="shared" si="9"/>
        <v>31</v>
      </c>
      <c r="I51" s="1">
        <v>3</v>
      </c>
      <c r="J51" s="83">
        <f t="shared" si="10"/>
        <v>10.333333333333334</v>
      </c>
      <c r="K51" s="84">
        <f t="shared" si="11"/>
        <v>26</v>
      </c>
      <c r="S51" s="92" t="s">
        <v>929</v>
      </c>
      <c r="T51" s="99">
        <v>26</v>
      </c>
      <c r="U51" s="87" t="s">
        <v>952</v>
      </c>
      <c r="V51" s="87">
        <f t="shared" si="12"/>
        <v>8</v>
      </c>
      <c r="Y51" s="87"/>
    </row>
    <row r="52" spans="1:25" x14ac:dyDescent="0.2">
      <c r="A52" s="90">
        <f t="shared" si="13"/>
        <v>50</v>
      </c>
      <c r="B52" s="2" t="s">
        <v>745</v>
      </c>
      <c r="C52" s="23" t="s">
        <v>50</v>
      </c>
      <c r="D52" s="2">
        <v>27</v>
      </c>
      <c r="E52" s="2">
        <v>2</v>
      </c>
      <c r="F52" s="2">
        <v>1</v>
      </c>
      <c r="H52" s="18">
        <f t="shared" ref="H52" si="14">SUM(D52:G52)</f>
        <v>30</v>
      </c>
      <c r="I52" s="1">
        <v>4</v>
      </c>
      <c r="J52" s="83">
        <f t="shared" ref="J52" si="15">H52/I52</f>
        <v>7.5</v>
      </c>
      <c r="K52" s="84">
        <f t="shared" ref="K52" si="16">RANK(J52,J$3:J$53,0)</f>
        <v>36</v>
      </c>
      <c r="S52" s="92" t="s">
        <v>948</v>
      </c>
      <c r="T52" s="99">
        <v>26</v>
      </c>
      <c r="U52" s="87" t="s">
        <v>961</v>
      </c>
      <c r="V52" s="87">
        <f t="shared" si="12"/>
        <v>8</v>
      </c>
    </row>
    <row r="53" spans="1:25" x14ac:dyDescent="0.2">
      <c r="A53" s="90"/>
      <c r="H53" s="18"/>
      <c r="J53" s="83"/>
      <c r="K53" s="84"/>
      <c r="S53" s="92" t="s">
        <v>940</v>
      </c>
      <c r="T53" s="99">
        <v>25</v>
      </c>
      <c r="U53" s="87" t="s">
        <v>959</v>
      </c>
      <c r="V53" s="87">
        <f t="shared" si="12"/>
        <v>12</v>
      </c>
      <c r="Y53" s="87"/>
    </row>
    <row r="54" spans="1:25" x14ac:dyDescent="0.2">
      <c r="C54" s="102"/>
      <c r="D54" s="3"/>
      <c r="E54" s="3"/>
      <c r="F54" s="3"/>
      <c r="G54" s="3"/>
      <c r="H54" s="3"/>
      <c r="S54" s="92" t="s">
        <v>941</v>
      </c>
      <c r="T54" s="99">
        <v>25</v>
      </c>
      <c r="U54" s="87" t="s">
        <v>951</v>
      </c>
      <c r="V54" s="87">
        <f t="shared" si="12"/>
        <v>12</v>
      </c>
      <c r="Y54" s="87"/>
    </row>
    <row r="55" spans="1:25" x14ac:dyDescent="0.2">
      <c r="B55" s="103" t="s">
        <v>200</v>
      </c>
      <c r="C55" s="102"/>
      <c r="D55" s="3"/>
      <c r="E55" s="3"/>
      <c r="F55" s="3"/>
      <c r="G55" s="3"/>
      <c r="H55" s="3"/>
      <c r="S55" s="87" t="s">
        <v>937</v>
      </c>
      <c r="T55" s="99">
        <v>25</v>
      </c>
      <c r="U55" s="87" t="s">
        <v>955</v>
      </c>
      <c r="V55" s="87">
        <f t="shared" si="12"/>
        <v>12</v>
      </c>
      <c r="Y55" s="87"/>
    </row>
    <row r="56" spans="1:25" x14ac:dyDescent="0.2">
      <c r="B56" s="25"/>
      <c r="C56" s="104" t="s">
        <v>247</v>
      </c>
      <c r="D56" s="3"/>
      <c r="E56" s="3"/>
      <c r="F56" s="3"/>
      <c r="G56" s="3"/>
      <c r="H56" s="3"/>
      <c r="S56" s="92" t="s">
        <v>935</v>
      </c>
      <c r="T56" s="99">
        <v>24</v>
      </c>
      <c r="U56" s="87" t="s">
        <v>963</v>
      </c>
      <c r="V56" s="87">
        <f t="shared" si="12"/>
        <v>15</v>
      </c>
      <c r="Y56" s="87"/>
    </row>
    <row r="57" spans="1:25" x14ac:dyDescent="0.2">
      <c r="B57" s="3"/>
      <c r="C57" s="26" t="s">
        <v>245</v>
      </c>
      <c r="D57" s="26" t="s">
        <v>246</v>
      </c>
      <c r="H57" s="3"/>
      <c r="S57" s="2" t="s">
        <v>945</v>
      </c>
      <c r="T57" s="101">
        <v>24</v>
      </c>
      <c r="U57" s="2" t="s">
        <v>957</v>
      </c>
      <c r="V57" s="87">
        <f t="shared" si="12"/>
        <v>15</v>
      </c>
      <c r="Y57" s="87"/>
    </row>
    <row r="58" spans="1:25" x14ac:dyDescent="0.2">
      <c r="A58" s="1">
        <v>4</v>
      </c>
      <c r="B58" s="2" t="s">
        <v>182</v>
      </c>
      <c r="C58" s="105" t="s">
        <v>233</v>
      </c>
      <c r="D58" s="106" t="s">
        <v>237</v>
      </c>
      <c r="H58" s="3"/>
      <c r="S58" s="92" t="s">
        <v>939</v>
      </c>
      <c r="T58" s="99">
        <v>24</v>
      </c>
      <c r="U58" s="87" t="s">
        <v>1102</v>
      </c>
      <c r="V58" s="87">
        <f t="shared" si="12"/>
        <v>15</v>
      </c>
      <c r="Y58" s="87"/>
    </row>
    <row r="59" spans="1:25" x14ac:dyDescent="0.2">
      <c r="A59" s="1">
        <v>4</v>
      </c>
      <c r="B59" s="2" t="s">
        <v>183</v>
      </c>
      <c r="C59" s="105" t="s">
        <v>234</v>
      </c>
      <c r="D59" s="106" t="s">
        <v>238</v>
      </c>
      <c r="H59" s="3"/>
      <c r="S59" s="92" t="s">
        <v>936</v>
      </c>
      <c r="T59" s="99">
        <v>23</v>
      </c>
      <c r="U59" s="87" t="s">
        <v>953</v>
      </c>
      <c r="V59" s="87">
        <f t="shared" si="12"/>
        <v>18</v>
      </c>
    </row>
    <row r="60" spans="1:25" x14ac:dyDescent="0.2">
      <c r="A60" s="1">
        <v>4</v>
      </c>
      <c r="B60" s="2" t="s">
        <v>184</v>
      </c>
      <c r="C60" s="105" t="s">
        <v>235</v>
      </c>
      <c r="D60" s="106" t="s">
        <v>239</v>
      </c>
      <c r="H60" s="3"/>
      <c r="S60" s="87" t="s">
        <v>943</v>
      </c>
      <c r="T60" s="99">
        <v>23</v>
      </c>
      <c r="U60" s="87" t="s">
        <v>955</v>
      </c>
      <c r="V60" s="87">
        <f t="shared" si="12"/>
        <v>18</v>
      </c>
      <c r="Y60" s="87"/>
    </row>
    <row r="61" spans="1:25" x14ac:dyDescent="0.2">
      <c r="A61" s="1">
        <v>4</v>
      </c>
      <c r="B61" s="2" t="s">
        <v>185</v>
      </c>
      <c r="C61" s="105" t="s">
        <v>236</v>
      </c>
      <c r="D61" s="106" t="s">
        <v>240</v>
      </c>
      <c r="H61" s="3"/>
      <c r="S61" s="92" t="s">
        <v>966</v>
      </c>
      <c r="T61" s="99">
        <v>22</v>
      </c>
      <c r="U61" s="87" t="s">
        <v>965</v>
      </c>
      <c r="V61" s="87">
        <f t="shared" si="12"/>
        <v>20</v>
      </c>
    </row>
    <row r="62" spans="1:25" x14ac:dyDescent="0.2">
      <c r="A62" s="1">
        <v>4</v>
      </c>
      <c r="B62" s="2" t="s">
        <v>186</v>
      </c>
      <c r="C62" s="23">
        <v>1303</v>
      </c>
      <c r="D62" s="33">
        <v>1306</v>
      </c>
      <c r="H62" s="3"/>
      <c r="S62" s="87" t="s">
        <v>926</v>
      </c>
      <c r="T62" s="99">
        <v>22</v>
      </c>
      <c r="U62" s="87" t="s">
        <v>951</v>
      </c>
      <c r="V62" s="87">
        <f t="shared" si="12"/>
        <v>20</v>
      </c>
      <c r="Y62" s="87"/>
    </row>
    <row r="63" spans="1:25" x14ac:dyDescent="0.2">
      <c r="A63" s="1">
        <v>4</v>
      </c>
      <c r="B63" s="2" t="s">
        <v>187</v>
      </c>
      <c r="C63" s="23">
        <v>1613</v>
      </c>
      <c r="D63" s="2">
        <v>1616</v>
      </c>
      <c r="H63" s="3"/>
      <c r="S63" s="78" t="s">
        <v>971</v>
      </c>
      <c r="T63" s="101">
        <v>22</v>
      </c>
      <c r="U63" s="2" t="s">
        <v>970</v>
      </c>
      <c r="V63" s="87">
        <f t="shared" si="12"/>
        <v>20</v>
      </c>
      <c r="Y63" s="87"/>
    </row>
    <row r="64" spans="1:25" x14ac:dyDescent="0.2">
      <c r="A64" s="1">
        <v>4</v>
      </c>
      <c r="B64" s="2" t="s">
        <v>187</v>
      </c>
      <c r="C64" s="102">
        <v>1736</v>
      </c>
      <c r="D64" s="3">
        <v>1739</v>
      </c>
      <c r="E64" s="3"/>
      <c r="F64" s="3"/>
      <c r="G64" s="3"/>
      <c r="H64" s="3"/>
      <c r="S64" s="92" t="s">
        <v>934</v>
      </c>
      <c r="T64" s="99">
        <v>22</v>
      </c>
      <c r="U64" s="87" t="s">
        <v>955</v>
      </c>
      <c r="V64" s="87">
        <f t="shared" si="12"/>
        <v>20</v>
      </c>
    </row>
    <row r="65" spans="1:25" x14ac:dyDescent="0.2">
      <c r="A65" s="1">
        <v>4</v>
      </c>
      <c r="B65" s="3" t="s">
        <v>188</v>
      </c>
      <c r="C65" s="102">
        <v>1808</v>
      </c>
      <c r="D65" s="3">
        <v>1811</v>
      </c>
      <c r="E65" s="3"/>
      <c r="F65" s="3"/>
      <c r="G65" s="3"/>
      <c r="H65" s="3"/>
      <c r="S65" s="2" t="s">
        <v>946</v>
      </c>
      <c r="T65" s="101">
        <v>22</v>
      </c>
      <c r="U65" s="2" t="s">
        <v>956</v>
      </c>
      <c r="V65" s="87">
        <f t="shared" si="12"/>
        <v>20</v>
      </c>
    </row>
    <row r="66" spans="1:25" x14ac:dyDescent="0.2">
      <c r="A66" s="1">
        <v>4</v>
      </c>
      <c r="B66" s="3" t="s">
        <v>189</v>
      </c>
      <c r="C66" s="23">
        <v>2611</v>
      </c>
      <c r="D66" s="2">
        <v>2614</v>
      </c>
      <c r="H66" s="3"/>
      <c r="S66" s="78" t="s">
        <v>964</v>
      </c>
      <c r="T66" s="101">
        <v>21</v>
      </c>
      <c r="U66" s="2" t="s">
        <v>959</v>
      </c>
      <c r="V66" s="87">
        <f t="shared" si="12"/>
        <v>25</v>
      </c>
    </row>
    <row r="67" spans="1:25" x14ac:dyDescent="0.2">
      <c r="A67" s="1">
        <v>4</v>
      </c>
      <c r="B67" s="3" t="s">
        <v>190</v>
      </c>
      <c r="C67" s="102">
        <v>2624</v>
      </c>
      <c r="D67" s="3">
        <v>2627</v>
      </c>
      <c r="E67" s="3"/>
      <c r="F67" s="3"/>
      <c r="G67" s="3"/>
      <c r="H67" s="3"/>
      <c r="S67" s="78" t="s">
        <v>969</v>
      </c>
      <c r="T67" s="101">
        <v>21</v>
      </c>
      <c r="U67" s="2" t="s">
        <v>950</v>
      </c>
      <c r="V67" s="87">
        <f t="shared" si="12"/>
        <v>25</v>
      </c>
      <c r="Y67" s="87"/>
    </row>
    <row r="68" spans="1:25" x14ac:dyDescent="0.2">
      <c r="A68" s="1">
        <v>4</v>
      </c>
      <c r="B68" s="3" t="s">
        <v>189</v>
      </c>
      <c r="C68" s="102">
        <v>2638</v>
      </c>
      <c r="D68" s="3">
        <v>2641</v>
      </c>
      <c r="E68" s="3"/>
      <c r="F68" s="3"/>
      <c r="G68" s="3"/>
      <c r="H68" s="3"/>
      <c r="S68" s="2" t="s">
        <v>947</v>
      </c>
      <c r="T68" s="101">
        <v>21</v>
      </c>
      <c r="U68" s="2" t="s">
        <v>955</v>
      </c>
      <c r="V68" s="87">
        <f t="shared" si="12"/>
        <v>25</v>
      </c>
      <c r="Y68" s="87"/>
    </row>
    <row r="69" spans="1:25" x14ac:dyDescent="0.2">
      <c r="A69" s="1">
        <v>4</v>
      </c>
      <c r="B69" s="3" t="s">
        <v>191</v>
      </c>
      <c r="C69" s="102">
        <v>3530</v>
      </c>
      <c r="D69" s="3">
        <v>3533</v>
      </c>
      <c r="E69" s="3"/>
      <c r="F69" s="3"/>
      <c r="G69" s="3"/>
      <c r="H69" s="3"/>
      <c r="S69" s="2" t="s">
        <v>972</v>
      </c>
      <c r="T69" s="101">
        <v>21</v>
      </c>
      <c r="U69" s="2" t="s">
        <v>957</v>
      </c>
      <c r="V69" s="87">
        <f t="shared" si="12"/>
        <v>25</v>
      </c>
      <c r="Y69" s="87"/>
    </row>
    <row r="70" spans="1:25" x14ac:dyDescent="0.2">
      <c r="A70" s="1">
        <v>4</v>
      </c>
      <c r="B70" s="3" t="s">
        <v>192</v>
      </c>
      <c r="C70" s="23">
        <v>3834</v>
      </c>
      <c r="D70" s="2">
        <v>3837</v>
      </c>
      <c r="H70" s="3"/>
      <c r="S70" s="78" t="s">
        <v>968</v>
      </c>
      <c r="T70" s="101">
        <v>20</v>
      </c>
      <c r="U70" s="2" t="s">
        <v>967</v>
      </c>
      <c r="V70" s="87">
        <f t="shared" si="12"/>
        <v>29</v>
      </c>
      <c r="Y70" s="87"/>
    </row>
    <row r="71" spans="1:25" x14ac:dyDescent="0.2">
      <c r="A71" s="1">
        <v>4</v>
      </c>
      <c r="B71" s="2" t="s">
        <v>193</v>
      </c>
      <c r="C71" s="23">
        <v>4601</v>
      </c>
      <c r="D71" s="2">
        <v>4604</v>
      </c>
      <c r="H71" s="3"/>
      <c r="S71" s="2" t="s">
        <v>1103</v>
      </c>
      <c r="T71" s="101">
        <v>20</v>
      </c>
      <c r="U71" s="2" t="s">
        <v>1104</v>
      </c>
      <c r="V71" s="87">
        <f t="shared" si="12"/>
        <v>29</v>
      </c>
      <c r="Y71" s="87"/>
    </row>
    <row r="72" spans="1:25" x14ac:dyDescent="0.2">
      <c r="A72" s="1">
        <v>4</v>
      </c>
      <c r="B72" s="2" t="s">
        <v>193</v>
      </c>
      <c r="C72" s="102">
        <v>4807</v>
      </c>
      <c r="D72" s="3">
        <v>4810</v>
      </c>
      <c r="E72" s="3"/>
      <c r="F72" s="3"/>
      <c r="G72" s="3"/>
      <c r="H72" s="3"/>
      <c r="S72" s="87"/>
      <c r="U72" s="87"/>
      <c r="V72" s="87"/>
      <c r="W72" s="87"/>
    </row>
    <row r="73" spans="1:25" x14ac:dyDescent="0.2">
      <c r="A73" s="1">
        <v>4</v>
      </c>
      <c r="B73" s="2" t="s">
        <v>193</v>
      </c>
      <c r="C73" s="102">
        <v>4832</v>
      </c>
      <c r="D73" s="3">
        <v>4835</v>
      </c>
      <c r="E73" s="3"/>
      <c r="F73" s="3"/>
      <c r="G73" s="3"/>
      <c r="H73" s="3"/>
    </row>
    <row r="74" spans="1:25" x14ac:dyDescent="0.2">
      <c r="A74" s="1">
        <v>4</v>
      </c>
      <c r="B74" s="3" t="s">
        <v>194</v>
      </c>
      <c r="C74" s="102">
        <v>6212</v>
      </c>
      <c r="D74" s="3">
        <v>6215</v>
      </c>
      <c r="E74" s="3"/>
      <c r="F74" s="3"/>
      <c r="G74" s="3"/>
      <c r="H74" s="3"/>
    </row>
    <row r="76" spans="1:25" x14ac:dyDescent="0.2">
      <c r="A76" s="1">
        <v>5</v>
      </c>
      <c r="B76" s="3" t="s">
        <v>196</v>
      </c>
      <c r="C76" s="23">
        <v>1006</v>
      </c>
      <c r="D76" s="2">
        <v>1010</v>
      </c>
      <c r="H76" s="3"/>
    </row>
    <row r="77" spans="1:25" x14ac:dyDescent="0.2">
      <c r="A77" s="1">
        <v>5</v>
      </c>
      <c r="B77" s="3" t="s">
        <v>197</v>
      </c>
      <c r="C77" s="23">
        <v>1932</v>
      </c>
      <c r="D77" s="2">
        <v>1936</v>
      </c>
      <c r="H77" s="3"/>
    </row>
    <row r="78" spans="1:25" x14ac:dyDescent="0.2">
      <c r="A78" s="1">
        <v>5</v>
      </c>
      <c r="B78" s="3" t="s">
        <v>197</v>
      </c>
      <c r="C78" s="102">
        <v>2119</v>
      </c>
      <c r="D78" s="3">
        <v>2123</v>
      </c>
      <c r="E78" s="3"/>
      <c r="F78" s="3"/>
      <c r="G78" s="3"/>
      <c r="H78" s="3"/>
    </row>
    <row r="79" spans="1:25" x14ac:dyDescent="0.2">
      <c r="A79" s="1">
        <v>5</v>
      </c>
      <c r="B79" s="3" t="s">
        <v>198</v>
      </c>
      <c r="C79" s="23">
        <v>3502</v>
      </c>
      <c r="D79" s="2">
        <v>3506</v>
      </c>
      <c r="H79" s="3"/>
    </row>
    <row r="80" spans="1:25" x14ac:dyDescent="0.2">
      <c r="A80" s="1">
        <v>5</v>
      </c>
      <c r="B80" s="3" t="s">
        <v>1105</v>
      </c>
      <c r="C80" s="102">
        <v>8221</v>
      </c>
      <c r="D80" s="3">
        <v>8225</v>
      </c>
    </row>
    <row r="82" spans="1:8" x14ac:dyDescent="0.2">
      <c r="A82" s="1">
        <v>6</v>
      </c>
      <c r="B82" s="3" t="s">
        <v>185</v>
      </c>
      <c r="C82" s="107" t="s">
        <v>241</v>
      </c>
      <c r="D82" s="108" t="s">
        <v>243</v>
      </c>
    </row>
    <row r="83" spans="1:8" x14ac:dyDescent="0.2">
      <c r="A83" s="1">
        <v>6</v>
      </c>
      <c r="B83" s="3" t="s">
        <v>185</v>
      </c>
      <c r="C83" s="107" t="s">
        <v>242</v>
      </c>
      <c r="D83" s="108" t="s">
        <v>244</v>
      </c>
    </row>
    <row r="84" spans="1:8" x14ac:dyDescent="0.2">
      <c r="A84" s="1">
        <v>6</v>
      </c>
      <c r="B84" s="3" t="s">
        <v>199</v>
      </c>
      <c r="C84" s="102">
        <v>3338</v>
      </c>
      <c r="D84" s="3">
        <v>3343</v>
      </c>
    </row>
    <row r="85" spans="1:8" x14ac:dyDescent="0.2">
      <c r="A85" s="1">
        <v>6</v>
      </c>
      <c r="B85" s="3" t="s">
        <v>195</v>
      </c>
      <c r="C85" s="102">
        <v>6701</v>
      </c>
      <c r="D85" s="3">
        <v>6706</v>
      </c>
      <c r="H85" s="3"/>
    </row>
    <row r="86" spans="1:8" x14ac:dyDescent="0.2">
      <c r="A86" s="1">
        <v>6</v>
      </c>
      <c r="B86" s="3" t="s">
        <v>249</v>
      </c>
      <c r="C86" s="23">
        <v>7008</v>
      </c>
      <c r="D86" s="2">
        <v>7013</v>
      </c>
    </row>
    <row r="87" spans="1:8" x14ac:dyDescent="0.2">
      <c r="B87" s="3"/>
      <c r="C87" s="102"/>
      <c r="D87" s="3"/>
      <c r="E87" s="3"/>
      <c r="F87" s="3"/>
      <c r="G87" s="3"/>
      <c r="H87" s="3"/>
    </row>
    <row r="88" spans="1:8" x14ac:dyDescent="0.2">
      <c r="A88" s="1">
        <v>7</v>
      </c>
      <c r="B88" s="3" t="s">
        <v>187</v>
      </c>
      <c r="C88" s="102">
        <v>1722</v>
      </c>
      <c r="D88" s="3">
        <v>1728</v>
      </c>
      <c r="H88" s="3"/>
    </row>
    <row r="89" spans="1:8" x14ac:dyDescent="0.2">
      <c r="A89" s="1">
        <v>7</v>
      </c>
      <c r="B89" s="3" t="s">
        <v>197</v>
      </c>
      <c r="C89" s="23">
        <v>1908</v>
      </c>
      <c r="D89" s="2">
        <v>1914</v>
      </c>
    </row>
    <row r="90" spans="1:8" x14ac:dyDescent="0.2">
      <c r="A90" s="1">
        <v>7</v>
      </c>
      <c r="B90" s="3" t="s">
        <v>191</v>
      </c>
      <c r="C90" s="102">
        <v>3535</v>
      </c>
      <c r="D90" s="3">
        <v>3541</v>
      </c>
      <c r="E90" s="3"/>
      <c r="F90" s="3"/>
      <c r="G90" s="3"/>
      <c r="H90" s="3"/>
    </row>
    <row r="91" spans="1:8" x14ac:dyDescent="0.2">
      <c r="B91" s="3"/>
      <c r="C91" s="102"/>
      <c r="D91" s="3"/>
    </row>
    <row r="92" spans="1:8" x14ac:dyDescent="0.2">
      <c r="B92" s="10"/>
      <c r="E92" s="3"/>
      <c r="F92" s="3"/>
      <c r="G92" s="3"/>
      <c r="H92" s="3"/>
    </row>
    <row r="93" spans="1:8" x14ac:dyDescent="0.2">
      <c r="C93" s="102"/>
      <c r="D93" s="3"/>
      <c r="E93" s="3"/>
      <c r="F93" s="3"/>
      <c r="G93" s="3"/>
      <c r="H93" s="3"/>
    </row>
    <row r="94" spans="1:8" x14ac:dyDescent="0.2">
      <c r="B94" s="103" t="s">
        <v>293</v>
      </c>
      <c r="C94" s="102"/>
      <c r="D94" s="3"/>
      <c r="E94" s="3"/>
      <c r="F94" s="3"/>
      <c r="G94" s="3"/>
      <c r="H94" s="3"/>
    </row>
    <row r="95" spans="1:8" x14ac:dyDescent="0.2">
      <c r="B95" s="25"/>
      <c r="C95" s="27" t="s">
        <v>294</v>
      </c>
      <c r="D95" s="3"/>
      <c r="H95" s="3"/>
    </row>
    <row r="96" spans="1:8" x14ac:dyDescent="0.2">
      <c r="B96" s="3"/>
      <c r="C96" s="26" t="s">
        <v>245</v>
      </c>
      <c r="D96" s="26" t="s">
        <v>246</v>
      </c>
      <c r="F96" s="23"/>
      <c r="G96" s="23"/>
      <c r="H96" s="3"/>
    </row>
    <row r="97" spans="1:8" x14ac:dyDescent="0.2">
      <c r="A97" s="1">
        <v>4</v>
      </c>
      <c r="B97" s="2" t="s">
        <v>295</v>
      </c>
      <c r="C97" s="105">
        <v>1946</v>
      </c>
      <c r="D97" s="105">
        <v>1950</v>
      </c>
      <c r="F97" s="23"/>
      <c r="G97" s="23"/>
      <c r="H97" s="3"/>
    </row>
    <row r="98" spans="1:8" x14ac:dyDescent="0.2">
      <c r="A98" s="1">
        <v>4</v>
      </c>
      <c r="B98" s="2" t="s">
        <v>298</v>
      </c>
      <c r="C98" s="105">
        <v>1954</v>
      </c>
      <c r="D98" s="105">
        <v>1958</v>
      </c>
      <c r="F98" s="23"/>
      <c r="G98" s="23"/>
      <c r="H98" s="3"/>
    </row>
    <row r="99" spans="1:8" x14ac:dyDescent="0.2">
      <c r="A99" s="1">
        <v>4</v>
      </c>
      <c r="B99" s="2" t="s">
        <v>297</v>
      </c>
      <c r="C99" s="105">
        <v>1992</v>
      </c>
      <c r="D99" s="105">
        <v>1996</v>
      </c>
      <c r="F99" s="23"/>
      <c r="G99" s="23"/>
      <c r="H99" s="3"/>
    </row>
    <row r="100" spans="1:8" x14ac:dyDescent="0.2">
      <c r="C100" s="105"/>
      <c r="D100" s="105"/>
      <c r="F100" s="23"/>
      <c r="G100" s="23"/>
      <c r="H100" s="3"/>
    </row>
    <row r="101" spans="1:8" x14ac:dyDescent="0.2">
      <c r="A101" s="1">
        <v>3</v>
      </c>
      <c r="B101" s="2" t="s">
        <v>296</v>
      </c>
      <c r="C101" s="105">
        <v>1929</v>
      </c>
      <c r="D101" s="105">
        <v>1932</v>
      </c>
      <c r="F101" s="23"/>
      <c r="G101" s="23"/>
    </row>
    <row r="102" spans="1:8" x14ac:dyDescent="0.2">
      <c r="A102" s="1">
        <v>3</v>
      </c>
      <c r="B102" s="2" t="s">
        <v>299</v>
      </c>
      <c r="C102" s="105">
        <v>1954</v>
      </c>
      <c r="D102" s="105">
        <v>1957</v>
      </c>
      <c r="F102" s="23"/>
      <c r="G102" s="23"/>
      <c r="H102" s="77"/>
    </row>
    <row r="103" spans="1:8" x14ac:dyDescent="0.2">
      <c r="A103" s="1">
        <v>3</v>
      </c>
      <c r="B103" s="2" t="s">
        <v>300</v>
      </c>
      <c r="C103" s="105">
        <v>1954</v>
      </c>
      <c r="D103" s="105">
        <v>1957</v>
      </c>
      <c r="F103" s="23"/>
      <c r="G103" s="23"/>
    </row>
    <row r="104" spans="1:8" x14ac:dyDescent="0.2">
      <c r="A104" s="1">
        <v>3</v>
      </c>
      <c r="B104" s="2" t="s">
        <v>301</v>
      </c>
      <c r="C104" s="105">
        <v>1981</v>
      </c>
      <c r="D104" s="105">
        <v>1984</v>
      </c>
      <c r="F104" s="23"/>
      <c r="G104" s="23"/>
    </row>
    <row r="105" spans="1:8" x14ac:dyDescent="0.2">
      <c r="A105" s="1">
        <v>3</v>
      </c>
      <c r="B105" s="2" t="s">
        <v>949</v>
      </c>
      <c r="C105" s="23">
        <v>2007</v>
      </c>
      <c r="D105" s="23">
        <v>2010</v>
      </c>
      <c r="F105" s="23"/>
      <c r="G105" s="23"/>
    </row>
    <row r="106" spans="1:8" x14ac:dyDescent="0.2">
      <c r="F106" s="23"/>
      <c r="G106" s="23"/>
    </row>
    <row r="107" spans="1:8" x14ac:dyDescent="0.2">
      <c r="A107" s="1">
        <v>2</v>
      </c>
      <c r="B107" s="2" t="s">
        <v>302</v>
      </c>
      <c r="C107" s="105">
        <v>1929</v>
      </c>
      <c r="D107" s="105">
        <v>1931</v>
      </c>
      <c r="F107" s="23"/>
      <c r="G107" s="23"/>
    </row>
    <row r="108" spans="1:8" x14ac:dyDescent="0.2">
      <c r="A108" s="1">
        <v>2</v>
      </c>
      <c r="B108" s="2" t="s">
        <v>303</v>
      </c>
      <c r="C108" s="105">
        <v>1931</v>
      </c>
      <c r="D108" s="105">
        <v>1933</v>
      </c>
      <c r="F108" s="23"/>
      <c r="G108" s="23"/>
    </row>
    <row r="109" spans="1:8" x14ac:dyDescent="0.2">
      <c r="A109" s="1">
        <v>2</v>
      </c>
      <c r="B109" s="2" t="s">
        <v>304</v>
      </c>
      <c r="C109" s="105">
        <v>1935</v>
      </c>
      <c r="D109" s="105">
        <v>1937</v>
      </c>
      <c r="F109" s="23"/>
      <c r="G109" s="23"/>
    </row>
    <row r="110" spans="1:8" x14ac:dyDescent="0.2">
      <c r="A110" s="1">
        <v>2</v>
      </c>
      <c r="B110" s="2" t="s">
        <v>305</v>
      </c>
      <c r="C110" s="105">
        <v>1936</v>
      </c>
      <c r="D110" s="105">
        <v>1938</v>
      </c>
      <c r="F110" s="23"/>
      <c r="G110" s="23"/>
    </row>
    <row r="111" spans="1:8" x14ac:dyDescent="0.2">
      <c r="A111" s="1">
        <v>2</v>
      </c>
      <c r="B111" s="2" t="s">
        <v>299</v>
      </c>
      <c r="C111" s="23">
        <v>1951</v>
      </c>
      <c r="D111" s="23">
        <v>1953</v>
      </c>
      <c r="F111" s="23"/>
      <c r="G111" s="23"/>
    </row>
    <row r="112" spans="1:8" x14ac:dyDescent="0.2">
      <c r="A112" s="1">
        <v>2</v>
      </c>
      <c r="B112" s="2" t="s">
        <v>306</v>
      </c>
      <c r="C112" s="23">
        <v>1957</v>
      </c>
      <c r="D112" s="23">
        <v>1959</v>
      </c>
      <c r="F112" s="23"/>
      <c r="G112" s="23"/>
    </row>
    <row r="113" spans="1:7" x14ac:dyDescent="0.2">
      <c r="A113" s="1">
        <v>2</v>
      </c>
      <c r="B113" s="2" t="s">
        <v>308</v>
      </c>
      <c r="C113" s="23">
        <v>1957</v>
      </c>
      <c r="D113" s="23">
        <v>1959</v>
      </c>
      <c r="F113" s="23"/>
      <c r="G113" s="23"/>
    </row>
    <row r="114" spans="1:7" x14ac:dyDescent="0.2">
      <c r="A114" s="1">
        <v>2</v>
      </c>
      <c r="B114" s="2" t="s">
        <v>298</v>
      </c>
      <c r="C114" s="23">
        <v>1959</v>
      </c>
      <c r="D114" s="23">
        <v>1961</v>
      </c>
      <c r="F114" s="23"/>
      <c r="G114" s="23"/>
    </row>
    <row r="115" spans="1:7" x14ac:dyDescent="0.2">
      <c r="A115" s="1">
        <v>2</v>
      </c>
      <c r="B115" s="2" t="s">
        <v>306</v>
      </c>
      <c r="C115" s="23">
        <v>1960</v>
      </c>
      <c r="D115" s="23">
        <v>1962</v>
      </c>
      <c r="F115" s="23"/>
      <c r="G115" s="23"/>
    </row>
    <row r="116" spans="1:7" x14ac:dyDescent="0.2">
      <c r="A116" s="1">
        <v>2</v>
      </c>
      <c r="B116" s="2" t="s">
        <v>307</v>
      </c>
      <c r="C116" s="23">
        <v>1960</v>
      </c>
      <c r="D116" s="23">
        <v>1962</v>
      </c>
      <c r="F116" s="23"/>
      <c r="G116" s="23"/>
    </row>
    <row r="117" spans="1:7" x14ac:dyDescent="0.2">
      <c r="A117" s="1">
        <v>2</v>
      </c>
      <c r="B117" s="2" t="s">
        <v>298</v>
      </c>
      <c r="C117" s="23">
        <v>1962</v>
      </c>
      <c r="D117" s="23">
        <v>1964</v>
      </c>
      <c r="F117" s="23"/>
      <c r="G117" s="23"/>
    </row>
    <row r="118" spans="1:7" x14ac:dyDescent="0.2">
      <c r="A118" s="1">
        <v>2</v>
      </c>
      <c r="B118" s="2" t="s">
        <v>309</v>
      </c>
      <c r="C118" s="23">
        <v>1964</v>
      </c>
      <c r="D118" s="23">
        <v>1966</v>
      </c>
      <c r="F118" s="23"/>
      <c r="G118" s="23"/>
    </row>
    <row r="119" spans="1:7" x14ac:dyDescent="0.2">
      <c r="A119" s="1">
        <v>2</v>
      </c>
      <c r="B119" s="2" t="s">
        <v>310</v>
      </c>
      <c r="C119" s="23">
        <v>1966</v>
      </c>
      <c r="D119" s="23">
        <v>1968</v>
      </c>
      <c r="F119" s="23"/>
      <c r="G119" s="23"/>
    </row>
    <row r="120" spans="1:7" x14ac:dyDescent="0.2">
      <c r="A120" s="1">
        <v>2</v>
      </c>
      <c r="B120" s="2" t="s">
        <v>311</v>
      </c>
      <c r="C120" s="23">
        <v>1967</v>
      </c>
      <c r="D120" s="23">
        <v>1969</v>
      </c>
      <c r="F120" s="23"/>
      <c r="G120" s="23"/>
    </row>
    <row r="121" spans="1:7" x14ac:dyDescent="0.2">
      <c r="A121" s="1">
        <v>2</v>
      </c>
      <c r="B121" s="2" t="s">
        <v>312</v>
      </c>
      <c r="C121" s="23">
        <v>1969</v>
      </c>
      <c r="D121" s="23">
        <v>1971</v>
      </c>
      <c r="F121" s="23"/>
      <c r="G121" s="23"/>
    </row>
    <row r="122" spans="1:7" x14ac:dyDescent="0.2">
      <c r="A122" s="1">
        <v>2</v>
      </c>
      <c r="B122" s="2" t="s">
        <v>309</v>
      </c>
      <c r="C122" s="23">
        <v>1970</v>
      </c>
      <c r="D122" s="23">
        <v>1972</v>
      </c>
      <c r="F122" s="23"/>
      <c r="G122" s="23"/>
    </row>
    <row r="123" spans="1:7" x14ac:dyDescent="0.2">
      <c r="A123" s="1">
        <v>2</v>
      </c>
      <c r="B123" s="2" t="s">
        <v>313</v>
      </c>
      <c r="C123" s="23">
        <v>1973</v>
      </c>
      <c r="D123" s="23">
        <v>1975</v>
      </c>
      <c r="F123" s="23"/>
      <c r="G123" s="23"/>
    </row>
    <row r="124" spans="1:7" x14ac:dyDescent="0.2">
      <c r="A124" s="1">
        <v>2</v>
      </c>
      <c r="B124" s="2" t="s">
        <v>314</v>
      </c>
      <c r="C124" s="23">
        <v>1973</v>
      </c>
      <c r="D124" s="23">
        <v>1975</v>
      </c>
      <c r="F124" s="23"/>
      <c r="G124" s="23"/>
    </row>
    <row r="125" spans="1:7" x14ac:dyDescent="0.2">
      <c r="A125" s="1">
        <v>2</v>
      </c>
      <c r="B125" s="2" t="s">
        <v>315</v>
      </c>
      <c r="C125" s="23">
        <v>1977</v>
      </c>
      <c r="D125" s="23">
        <v>1979</v>
      </c>
      <c r="F125" s="23"/>
      <c r="G125" s="23"/>
    </row>
    <row r="126" spans="1:7" x14ac:dyDescent="0.2">
      <c r="A126" s="1">
        <v>2</v>
      </c>
      <c r="B126" s="2" t="s">
        <v>316</v>
      </c>
      <c r="C126" s="23">
        <v>1982</v>
      </c>
      <c r="D126" s="23">
        <v>1984</v>
      </c>
      <c r="F126" s="23"/>
      <c r="G126" s="23"/>
    </row>
    <row r="127" spans="1:7" x14ac:dyDescent="0.2">
      <c r="A127" s="1">
        <v>2</v>
      </c>
      <c r="B127" s="2" t="s">
        <v>317</v>
      </c>
      <c r="C127" s="23">
        <v>1982</v>
      </c>
      <c r="D127" s="23">
        <v>1984</v>
      </c>
      <c r="F127" s="23"/>
      <c r="G127" s="23"/>
    </row>
    <row r="128" spans="1:7" x14ac:dyDescent="0.2">
      <c r="A128" s="1">
        <v>2</v>
      </c>
      <c r="B128" s="2" t="s">
        <v>318</v>
      </c>
      <c r="C128" s="23">
        <v>1984</v>
      </c>
      <c r="D128" s="23">
        <v>1986</v>
      </c>
      <c r="F128" s="23"/>
      <c r="G128" s="23"/>
    </row>
    <row r="129" spans="1:8" x14ac:dyDescent="0.2">
      <c r="A129" s="1">
        <v>2</v>
      </c>
      <c r="B129" s="2" t="s">
        <v>301</v>
      </c>
      <c r="C129" s="23">
        <v>1985</v>
      </c>
      <c r="D129" s="23">
        <v>1987</v>
      </c>
      <c r="F129" s="23"/>
      <c r="G129" s="23"/>
    </row>
    <row r="130" spans="1:8" x14ac:dyDescent="0.2">
      <c r="A130" s="1">
        <v>2</v>
      </c>
      <c r="B130" s="2" t="s">
        <v>319</v>
      </c>
      <c r="C130" s="23">
        <v>1988</v>
      </c>
      <c r="D130" s="23">
        <v>1990</v>
      </c>
      <c r="F130" s="23"/>
      <c r="G130" s="23"/>
    </row>
    <row r="131" spans="1:8" x14ac:dyDescent="0.2">
      <c r="A131" s="1">
        <v>2</v>
      </c>
      <c r="B131" s="2" t="s">
        <v>320</v>
      </c>
      <c r="C131" s="23">
        <v>2004</v>
      </c>
      <c r="D131" s="23">
        <v>2006</v>
      </c>
    </row>
    <row r="132" spans="1:8" x14ac:dyDescent="0.2">
      <c r="A132" s="1">
        <v>2</v>
      </c>
      <c r="B132" s="2" t="s">
        <v>325</v>
      </c>
      <c r="C132" s="23">
        <v>2005</v>
      </c>
      <c r="D132" s="23">
        <v>2007</v>
      </c>
    </row>
    <row r="133" spans="1:8" x14ac:dyDescent="0.2">
      <c r="A133" s="1">
        <v>2</v>
      </c>
      <c r="B133" s="2" t="s">
        <v>1118</v>
      </c>
      <c r="C133" s="23">
        <v>2016</v>
      </c>
      <c r="D133" s="23">
        <v>2018</v>
      </c>
    </row>
    <row r="134" spans="1:8" x14ac:dyDescent="0.2">
      <c r="C134" s="105"/>
      <c r="D134" s="105"/>
    </row>
    <row r="135" spans="1:8" x14ac:dyDescent="0.2">
      <c r="C135" s="105"/>
      <c r="D135" s="105"/>
    </row>
    <row r="136" spans="1:8" x14ac:dyDescent="0.2">
      <c r="D136" s="23"/>
      <c r="E136" s="3"/>
      <c r="F136" s="3"/>
      <c r="G136" s="3"/>
      <c r="H136" s="3"/>
    </row>
    <row r="137" spans="1:8" x14ac:dyDescent="0.2">
      <c r="C137" s="102"/>
      <c r="D137" s="3"/>
      <c r="E137" s="3"/>
      <c r="F137" s="3"/>
      <c r="G137" s="3"/>
      <c r="H137" s="3"/>
    </row>
    <row r="138" spans="1:8" x14ac:dyDescent="0.2">
      <c r="A138" s="169" t="s">
        <v>987</v>
      </c>
      <c r="C138" s="102"/>
      <c r="D138" s="3"/>
      <c r="E138" s="3"/>
      <c r="F138" s="3"/>
      <c r="G138" s="3"/>
      <c r="H138" s="3"/>
    </row>
    <row r="139" spans="1:8" x14ac:dyDescent="0.2">
      <c r="B139" s="25"/>
      <c r="C139" s="27" t="s">
        <v>294</v>
      </c>
      <c r="D139" s="3"/>
      <c r="F139" s="23"/>
      <c r="G139" s="23"/>
      <c r="H139" s="3"/>
    </row>
    <row r="140" spans="1:8" x14ac:dyDescent="0.2">
      <c r="A140" s="1">
        <v>31</v>
      </c>
      <c r="B140" s="2" t="s">
        <v>300</v>
      </c>
      <c r="C140" s="23" t="s">
        <v>88</v>
      </c>
      <c r="D140" s="109">
        <f t="shared" ref="D140:D161" si="17">RANK(A140,A$140:A$164,0)</f>
        <v>1</v>
      </c>
      <c r="F140" s="23"/>
      <c r="G140" s="23"/>
      <c r="H140" s="3"/>
    </row>
    <row r="141" spans="1:8" x14ac:dyDescent="0.2">
      <c r="A141" s="1">
        <v>29</v>
      </c>
      <c r="B141" s="2" t="s">
        <v>303</v>
      </c>
      <c r="C141" s="23" t="s">
        <v>72</v>
      </c>
      <c r="D141" s="109">
        <f t="shared" si="17"/>
        <v>2</v>
      </c>
    </row>
    <row r="142" spans="1:8" x14ac:dyDescent="0.2">
      <c r="A142" s="1">
        <v>26</v>
      </c>
      <c r="B142" s="2" t="s">
        <v>309</v>
      </c>
      <c r="C142" s="23" t="s">
        <v>98</v>
      </c>
      <c r="D142" s="109">
        <f t="shared" si="17"/>
        <v>3</v>
      </c>
    </row>
    <row r="143" spans="1:8" x14ac:dyDescent="0.2">
      <c r="A143" s="1">
        <v>25</v>
      </c>
      <c r="B143" s="2" t="s">
        <v>304</v>
      </c>
      <c r="C143" s="23" t="s">
        <v>74</v>
      </c>
      <c r="D143" s="109">
        <f t="shared" si="17"/>
        <v>4</v>
      </c>
    </row>
    <row r="144" spans="1:8" x14ac:dyDescent="0.2">
      <c r="A144" s="1">
        <v>24</v>
      </c>
      <c r="B144" s="2" t="s">
        <v>984</v>
      </c>
      <c r="C144" s="23" t="s">
        <v>77</v>
      </c>
      <c r="D144" s="109">
        <f t="shared" si="17"/>
        <v>5</v>
      </c>
    </row>
    <row r="145" spans="1:4" x14ac:dyDescent="0.2">
      <c r="A145" s="1">
        <v>23</v>
      </c>
      <c r="B145" s="2" t="s">
        <v>301</v>
      </c>
      <c r="C145" s="23" t="s">
        <v>115</v>
      </c>
      <c r="D145" s="109">
        <f t="shared" si="17"/>
        <v>6</v>
      </c>
    </row>
    <row r="146" spans="1:4" x14ac:dyDescent="0.2">
      <c r="A146" s="1">
        <v>22</v>
      </c>
      <c r="B146" s="2" t="s">
        <v>985</v>
      </c>
      <c r="C146" s="23" t="s">
        <v>79</v>
      </c>
      <c r="D146" s="109">
        <f t="shared" si="17"/>
        <v>7</v>
      </c>
    </row>
    <row r="147" spans="1:4" x14ac:dyDescent="0.2">
      <c r="A147" s="1">
        <v>21</v>
      </c>
      <c r="B147" s="2" t="s">
        <v>297</v>
      </c>
      <c r="C147" s="23" t="s">
        <v>126</v>
      </c>
      <c r="D147" s="109">
        <f t="shared" si="17"/>
        <v>8</v>
      </c>
    </row>
    <row r="148" spans="1:4" x14ac:dyDescent="0.2">
      <c r="A148" s="1">
        <v>19</v>
      </c>
      <c r="B148" s="2" t="s">
        <v>298</v>
      </c>
      <c r="C148" s="23" t="s">
        <v>88</v>
      </c>
      <c r="D148" s="109">
        <f t="shared" si="17"/>
        <v>9</v>
      </c>
    </row>
    <row r="149" spans="1:4" x14ac:dyDescent="0.2">
      <c r="A149" s="1">
        <v>18</v>
      </c>
      <c r="B149" s="2" t="s">
        <v>986</v>
      </c>
      <c r="C149" s="23" t="s">
        <v>982</v>
      </c>
      <c r="D149" s="109">
        <f t="shared" si="17"/>
        <v>10</v>
      </c>
    </row>
    <row r="150" spans="1:4" x14ac:dyDescent="0.2">
      <c r="A150" s="1">
        <v>18</v>
      </c>
      <c r="B150" s="2" t="s">
        <v>992</v>
      </c>
      <c r="C150" s="23" t="s">
        <v>70</v>
      </c>
      <c r="D150" s="109">
        <f t="shared" si="17"/>
        <v>10</v>
      </c>
    </row>
    <row r="151" spans="1:4" x14ac:dyDescent="0.2">
      <c r="A151" s="1">
        <v>18</v>
      </c>
      <c r="B151" s="2" t="s">
        <v>310</v>
      </c>
      <c r="C151" s="23" t="s">
        <v>98</v>
      </c>
      <c r="D151" s="109">
        <f t="shared" si="17"/>
        <v>10</v>
      </c>
    </row>
    <row r="152" spans="1:4" x14ac:dyDescent="0.2">
      <c r="A152" s="1">
        <v>18</v>
      </c>
      <c r="B152" s="2" t="s">
        <v>988</v>
      </c>
      <c r="C152" s="23" t="s">
        <v>100</v>
      </c>
      <c r="D152" s="109">
        <f t="shared" si="17"/>
        <v>10</v>
      </c>
    </row>
    <row r="153" spans="1:4" x14ac:dyDescent="0.2">
      <c r="A153" s="1">
        <v>17</v>
      </c>
      <c r="B153" s="2" t="s">
        <v>295</v>
      </c>
      <c r="C153" s="23" t="s">
        <v>80</v>
      </c>
      <c r="D153" s="109">
        <f t="shared" si="17"/>
        <v>14</v>
      </c>
    </row>
    <row r="154" spans="1:4" x14ac:dyDescent="0.2">
      <c r="A154" s="1">
        <v>17</v>
      </c>
      <c r="B154" s="2" t="s">
        <v>314</v>
      </c>
      <c r="C154" s="23" t="s">
        <v>107</v>
      </c>
      <c r="D154" s="109">
        <f t="shared" si="17"/>
        <v>14</v>
      </c>
    </row>
    <row r="155" spans="1:4" x14ac:dyDescent="0.2">
      <c r="A155" s="1">
        <v>17</v>
      </c>
      <c r="B155" s="2" t="s">
        <v>325</v>
      </c>
      <c r="C155" s="23" t="s">
        <v>248</v>
      </c>
      <c r="D155" s="109">
        <f t="shared" si="17"/>
        <v>14</v>
      </c>
    </row>
    <row r="156" spans="1:4" x14ac:dyDescent="0.2">
      <c r="A156" s="1">
        <v>16</v>
      </c>
      <c r="B156" s="2" t="s">
        <v>302</v>
      </c>
      <c r="C156" s="23" t="s">
        <v>70</v>
      </c>
      <c r="D156" s="109">
        <f t="shared" si="17"/>
        <v>17</v>
      </c>
    </row>
    <row r="157" spans="1:4" x14ac:dyDescent="0.2">
      <c r="A157" s="1">
        <v>15</v>
      </c>
      <c r="B157" s="2" t="s">
        <v>296</v>
      </c>
      <c r="C157" s="23" t="s">
        <v>70</v>
      </c>
      <c r="D157" s="109">
        <f t="shared" si="17"/>
        <v>18</v>
      </c>
    </row>
    <row r="158" spans="1:4" x14ac:dyDescent="0.2">
      <c r="A158" s="1">
        <v>15</v>
      </c>
      <c r="B158" s="2" t="s">
        <v>991</v>
      </c>
      <c r="C158" s="23" t="s">
        <v>93</v>
      </c>
      <c r="D158" s="109">
        <f t="shared" si="17"/>
        <v>18</v>
      </c>
    </row>
    <row r="159" spans="1:4" x14ac:dyDescent="0.2">
      <c r="A159" s="1">
        <v>15</v>
      </c>
      <c r="B159" s="2" t="s">
        <v>990</v>
      </c>
      <c r="C159" s="23" t="s">
        <v>95</v>
      </c>
      <c r="D159" s="109">
        <f t="shared" si="17"/>
        <v>18</v>
      </c>
    </row>
    <row r="160" spans="1:4" x14ac:dyDescent="0.2">
      <c r="A160" s="1">
        <v>15</v>
      </c>
      <c r="B160" s="2" t="s">
        <v>989</v>
      </c>
      <c r="C160" s="23" t="s">
        <v>98</v>
      </c>
      <c r="D160" s="109">
        <f t="shared" si="17"/>
        <v>18</v>
      </c>
    </row>
    <row r="161" spans="1:4" x14ac:dyDescent="0.2">
      <c r="A161" s="1">
        <v>15</v>
      </c>
      <c r="B161" s="2" t="s">
        <v>311</v>
      </c>
      <c r="C161" s="23" t="s">
        <v>101</v>
      </c>
      <c r="D161" s="109">
        <f t="shared" si="17"/>
        <v>18</v>
      </c>
    </row>
    <row r="162" spans="1:4" x14ac:dyDescent="0.2">
      <c r="D162" s="109"/>
    </row>
    <row r="163" spans="1:4" x14ac:dyDescent="0.2">
      <c r="D163" s="109"/>
    </row>
    <row r="164" spans="1:4" x14ac:dyDescent="0.2">
      <c r="C164" s="105"/>
      <c r="D164" s="109"/>
    </row>
    <row r="165" spans="1:4" x14ac:dyDescent="0.2">
      <c r="C165" s="105"/>
      <c r="D165" s="109"/>
    </row>
  </sheetData>
  <sortState ref="B30:K51">
    <sortCondition descending="1" ref="H30:H51"/>
  </sortState>
  <phoneticPr fontId="0" type="noConversion"/>
  <pageMargins left="0.75" right="0.75" top="1" bottom="1" header="0.5" footer="0.5"/>
  <pageSetup paperSize="9" orientation="portrait" horizontalDpi="3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G55"/>
  <sheetViews>
    <sheetView zoomScale="125" zoomScaleNormal="125" workbookViewId="0">
      <pane xSplit="8" ySplit="1" topLeftCell="I34" activePane="bottomRight" state="frozen"/>
      <selection pane="topRight" activeCell="H1" sqref="H1"/>
      <selection pane="bottomLeft" activeCell="A2" sqref="A2"/>
      <selection pane="bottomRight" activeCell="A56" sqref="A56"/>
    </sheetView>
  </sheetViews>
  <sheetFormatPr defaultRowHeight="10.9" customHeight="1" x14ac:dyDescent="0.2"/>
  <cols>
    <col min="1" max="1" width="5.7109375" bestFit="1" customWidth="1"/>
    <col min="2" max="2" width="8.140625" style="148" bestFit="1" customWidth="1"/>
    <col min="3" max="3" width="8.42578125" bestFit="1" customWidth="1"/>
    <col min="4" max="4" width="6.7109375" bestFit="1" customWidth="1"/>
    <col min="5" max="5" width="17.28515625" bestFit="1" customWidth="1"/>
    <col min="6" max="6" width="5" customWidth="1"/>
    <col min="7" max="8" width="3.5703125" customWidth="1"/>
    <col min="9" max="9" width="6.28515625" customWidth="1"/>
    <col min="10" max="10" width="6.140625" customWidth="1"/>
    <col min="11" max="11" width="42.7109375" bestFit="1" customWidth="1"/>
    <col min="12" max="12" width="9.28515625" bestFit="1" customWidth="1"/>
    <col min="13" max="14" width="15" bestFit="1" customWidth="1"/>
  </cols>
  <sheetData>
    <row r="1" spans="1:18" ht="10.9" customHeight="1" x14ac:dyDescent="0.2">
      <c r="A1" s="1" t="s">
        <v>61</v>
      </c>
      <c r="B1" s="6" t="s">
        <v>1345</v>
      </c>
      <c r="C1" s="1" t="s">
        <v>250</v>
      </c>
      <c r="D1" s="1" t="s">
        <v>257</v>
      </c>
      <c r="E1" s="10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889</v>
      </c>
      <c r="K1" s="6" t="s">
        <v>264</v>
      </c>
      <c r="L1" s="1" t="s">
        <v>1346</v>
      </c>
      <c r="M1" s="6" t="s">
        <v>1339</v>
      </c>
      <c r="N1" s="6" t="s">
        <v>1340</v>
      </c>
    </row>
    <row r="2" spans="1:18" ht="10.9" customHeight="1" x14ac:dyDescent="0.2">
      <c r="A2" s="23">
        <v>64</v>
      </c>
      <c r="B2" s="113">
        <v>11</v>
      </c>
      <c r="C2" s="111">
        <v>36442</v>
      </c>
      <c r="D2" s="102" t="s">
        <v>252</v>
      </c>
      <c r="E2" s="3" t="s">
        <v>1280</v>
      </c>
      <c r="F2" s="102" t="s">
        <v>281</v>
      </c>
      <c r="G2" s="102">
        <v>2</v>
      </c>
      <c r="H2" s="102">
        <v>1</v>
      </c>
      <c r="I2" s="102" t="s">
        <v>255</v>
      </c>
      <c r="J2" s="131">
        <v>2320</v>
      </c>
      <c r="K2" s="6" t="s">
        <v>1281</v>
      </c>
      <c r="L2" s="23">
        <v>22</v>
      </c>
      <c r="M2" s="107" t="s">
        <v>255</v>
      </c>
    </row>
    <row r="3" spans="1:18" ht="10.9" customHeight="1" x14ac:dyDescent="0.2">
      <c r="A3" s="23">
        <v>65</v>
      </c>
      <c r="B3" s="113">
        <v>11</v>
      </c>
      <c r="C3" s="111">
        <v>36805</v>
      </c>
      <c r="D3" s="102" t="s">
        <v>252</v>
      </c>
      <c r="E3" s="3" t="s">
        <v>362</v>
      </c>
      <c r="F3" s="102" t="s">
        <v>281</v>
      </c>
      <c r="G3" s="102">
        <v>2</v>
      </c>
      <c r="H3" s="102">
        <v>1</v>
      </c>
      <c r="I3" s="102" t="s">
        <v>348</v>
      </c>
      <c r="J3" s="132">
        <v>2681</v>
      </c>
      <c r="K3" s="6" t="s">
        <v>1282</v>
      </c>
      <c r="L3" s="23">
        <v>18</v>
      </c>
      <c r="M3" s="107" t="s">
        <v>255</v>
      </c>
    </row>
    <row r="4" spans="1:18" ht="10.9" customHeight="1" x14ac:dyDescent="0.2">
      <c r="A4" s="23">
        <v>65</v>
      </c>
      <c r="B4" s="113">
        <v>18</v>
      </c>
      <c r="C4" s="111">
        <v>36841</v>
      </c>
      <c r="D4" s="102" t="s">
        <v>252</v>
      </c>
      <c r="E4" s="3" t="s">
        <v>350</v>
      </c>
      <c r="F4" s="102" t="s">
        <v>281</v>
      </c>
      <c r="G4" s="102">
        <v>3</v>
      </c>
      <c r="H4" s="102">
        <v>2</v>
      </c>
      <c r="I4" s="102" t="s">
        <v>1283</v>
      </c>
      <c r="J4" s="132">
        <v>2514</v>
      </c>
      <c r="K4" s="6" t="s">
        <v>1284</v>
      </c>
      <c r="L4" s="23">
        <v>19</v>
      </c>
      <c r="M4" s="107" t="s">
        <v>255</v>
      </c>
    </row>
    <row r="5" spans="1:18" ht="10.9" customHeight="1" x14ac:dyDescent="0.2">
      <c r="A5" s="23">
        <v>65</v>
      </c>
      <c r="B5" s="113" t="s">
        <v>1262</v>
      </c>
      <c r="C5" s="111">
        <v>36880</v>
      </c>
      <c r="D5" s="102" t="s">
        <v>261</v>
      </c>
      <c r="E5" s="3" t="s">
        <v>1263</v>
      </c>
      <c r="F5" s="102" t="s">
        <v>281</v>
      </c>
      <c r="G5" s="102">
        <v>3</v>
      </c>
      <c r="H5" s="102">
        <v>1</v>
      </c>
      <c r="I5" s="102" t="s">
        <v>1264</v>
      </c>
      <c r="J5" s="132">
        <v>6968</v>
      </c>
      <c r="K5" s="6" t="s">
        <v>1341</v>
      </c>
      <c r="L5" s="2"/>
      <c r="M5" s="107" t="s">
        <v>255</v>
      </c>
      <c r="N5" s="6"/>
      <c r="O5" s="2"/>
      <c r="P5" s="2"/>
      <c r="Q5" s="2"/>
      <c r="R5" s="2"/>
    </row>
    <row r="6" spans="1:18" ht="10.9" customHeight="1" x14ac:dyDescent="0.2">
      <c r="A6" s="23">
        <v>65</v>
      </c>
      <c r="B6" s="113">
        <v>35</v>
      </c>
      <c r="C6" s="111">
        <v>36960</v>
      </c>
      <c r="D6" s="102" t="s">
        <v>261</v>
      </c>
      <c r="E6" s="3" t="s">
        <v>1002</v>
      </c>
      <c r="F6" s="102" t="s">
        <v>281</v>
      </c>
      <c r="G6" s="102">
        <v>3</v>
      </c>
      <c r="H6" s="102">
        <v>1</v>
      </c>
      <c r="I6" s="102" t="s">
        <v>255</v>
      </c>
      <c r="J6" s="132">
        <v>2405</v>
      </c>
      <c r="K6" s="6" t="s">
        <v>1285</v>
      </c>
      <c r="L6" s="23">
        <v>20</v>
      </c>
      <c r="M6" s="107" t="s">
        <v>255</v>
      </c>
    </row>
    <row r="7" spans="1:18" ht="10.9" customHeight="1" x14ac:dyDescent="0.2">
      <c r="A7" s="23">
        <v>66</v>
      </c>
      <c r="B7" s="113">
        <v>14</v>
      </c>
      <c r="C7" s="111">
        <v>37184</v>
      </c>
      <c r="D7" s="23" t="s">
        <v>252</v>
      </c>
      <c r="E7" s="2" t="s">
        <v>1286</v>
      </c>
      <c r="F7" s="23" t="s">
        <v>281</v>
      </c>
      <c r="G7" s="23">
        <v>2</v>
      </c>
      <c r="H7" s="23">
        <v>1</v>
      </c>
      <c r="I7" s="102" t="s">
        <v>348</v>
      </c>
      <c r="J7" s="132">
        <v>2270</v>
      </c>
      <c r="K7" s="6" t="s">
        <v>1287</v>
      </c>
      <c r="L7" s="23">
        <v>15</v>
      </c>
      <c r="M7" s="107" t="s">
        <v>255</v>
      </c>
    </row>
    <row r="8" spans="1:18" ht="10.9" customHeight="1" x14ac:dyDescent="0.2">
      <c r="A8" s="23">
        <v>66</v>
      </c>
      <c r="B8" s="113">
        <v>44</v>
      </c>
      <c r="C8" s="111">
        <v>37359</v>
      </c>
      <c r="D8" s="23" t="s">
        <v>252</v>
      </c>
      <c r="E8" s="2" t="s">
        <v>362</v>
      </c>
      <c r="F8" s="23" t="s">
        <v>281</v>
      </c>
      <c r="G8" s="23">
        <v>3</v>
      </c>
      <c r="H8" s="23">
        <v>1</v>
      </c>
      <c r="I8" s="102" t="s">
        <v>348</v>
      </c>
      <c r="J8" s="132">
        <v>5460</v>
      </c>
      <c r="K8" s="6" t="s">
        <v>1288</v>
      </c>
      <c r="L8" s="23">
        <v>15</v>
      </c>
      <c r="M8" s="107" t="s">
        <v>255</v>
      </c>
    </row>
    <row r="9" spans="1:18" ht="10.9" customHeight="1" x14ac:dyDescent="0.2">
      <c r="A9" s="23">
        <v>67</v>
      </c>
      <c r="B9" s="113">
        <v>2</v>
      </c>
      <c r="C9" s="111">
        <v>37481</v>
      </c>
      <c r="D9" s="23" t="s">
        <v>252</v>
      </c>
      <c r="E9" s="2" t="s">
        <v>1289</v>
      </c>
      <c r="F9" s="23" t="s">
        <v>281</v>
      </c>
      <c r="G9" s="23">
        <v>2</v>
      </c>
      <c r="H9" s="23">
        <v>1</v>
      </c>
      <c r="I9" s="102" t="s">
        <v>255</v>
      </c>
      <c r="J9" s="132">
        <v>3463</v>
      </c>
      <c r="K9" s="6" t="s">
        <v>1290</v>
      </c>
      <c r="L9" s="102">
        <v>5</v>
      </c>
      <c r="M9" s="107" t="s">
        <v>255</v>
      </c>
    </row>
    <row r="10" spans="1:18" ht="10.9" customHeight="1" x14ac:dyDescent="0.2">
      <c r="A10" s="23">
        <v>67</v>
      </c>
      <c r="B10" s="113">
        <v>18</v>
      </c>
      <c r="C10" s="111">
        <v>37569</v>
      </c>
      <c r="D10" s="23" t="s">
        <v>252</v>
      </c>
      <c r="E10" s="2" t="s">
        <v>1280</v>
      </c>
      <c r="F10" s="23" t="s">
        <v>281</v>
      </c>
      <c r="G10" s="23">
        <v>3</v>
      </c>
      <c r="H10" s="23">
        <v>2</v>
      </c>
      <c r="I10" s="102" t="s">
        <v>348</v>
      </c>
      <c r="J10" s="132">
        <v>3304</v>
      </c>
      <c r="K10" s="6" t="s">
        <v>1291</v>
      </c>
      <c r="L10" s="102">
        <v>12</v>
      </c>
      <c r="M10" s="107" t="s">
        <v>255</v>
      </c>
      <c r="N10" s="107" t="s">
        <v>975</v>
      </c>
    </row>
    <row r="11" spans="1:18" ht="10.9" customHeight="1" x14ac:dyDescent="0.2">
      <c r="A11" s="23">
        <v>67</v>
      </c>
      <c r="B11" s="113">
        <v>36</v>
      </c>
      <c r="C11" s="111">
        <v>37688</v>
      </c>
      <c r="D11" s="23" t="s">
        <v>252</v>
      </c>
      <c r="E11" s="2" t="s">
        <v>1292</v>
      </c>
      <c r="F11" s="23" t="s">
        <v>281</v>
      </c>
      <c r="G11" s="23">
        <v>3</v>
      </c>
      <c r="H11" s="23">
        <v>1</v>
      </c>
      <c r="I11" s="102" t="s">
        <v>255</v>
      </c>
      <c r="J11" s="132">
        <v>3394</v>
      </c>
      <c r="K11" s="6" t="s">
        <v>1293</v>
      </c>
      <c r="L11" s="23">
        <v>10</v>
      </c>
      <c r="M11" s="107" t="s">
        <v>255</v>
      </c>
    </row>
    <row r="12" spans="1:18" ht="10.9" customHeight="1" x14ac:dyDescent="0.2">
      <c r="A12" s="110">
        <v>70</v>
      </c>
      <c r="B12" s="123">
        <v>4</v>
      </c>
      <c r="C12" s="120">
        <v>38590</v>
      </c>
      <c r="D12" s="110" t="s">
        <v>252</v>
      </c>
      <c r="E12" s="77" t="s">
        <v>1294</v>
      </c>
      <c r="F12" s="110" t="s">
        <v>281</v>
      </c>
      <c r="G12" s="110">
        <v>2</v>
      </c>
      <c r="H12" s="110">
        <v>1</v>
      </c>
      <c r="I12" s="110" t="s">
        <v>270</v>
      </c>
      <c r="J12" s="122">
        <v>2302</v>
      </c>
      <c r="K12" s="6" t="s">
        <v>1295</v>
      </c>
      <c r="L12" s="110">
        <v>2</v>
      </c>
      <c r="M12" s="107" t="s">
        <v>255</v>
      </c>
    </row>
    <row r="13" spans="1:18" ht="10.9" customHeight="1" x14ac:dyDescent="0.2">
      <c r="A13" s="110">
        <v>70</v>
      </c>
      <c r="B13" s="123">
        <v>20</v>
      </c>
      <c r="C13" s="120">
        <v>38712</v>
      </c>
      <c r="D13" s="110" t="s">
        <v>252</v>
      </c>
      <c r="E13" s="77" t="s">
        <v>1296</v>
      </c>
      <c r="F13" s="110" t="s">
        <v>281</v>
      </c>
      <c r="G13" s="110">
        <v>3</v>
      </c>
      <c r="H13" s="110">
        <v>1</v>
      </c>
      <c r="I13" s="121" t="s">
        <v>348</v>
      </c>
      <c r="J13" s="122">
        <v>4921</v>
      </c>
      <c r="K13" s="6" t="s">
        <v>1297</v>
      </c>
      <c r="L13" s="110">
        <v>8</v>
      </c>
      <c r="M13" s="107" t="s">
        <v>255</v>
      </c>
    </row>
    <row r="14" spans="1:18" ht="10.9" customHeight="1" x14ac:dyDescent="0.2">
      <c r="A14" s="110">
        <v>70</v>
      </c>
      <c r="B14" s="123">
        <v>28</v>
      </c>
      <c r="C14" s="120">
        <v>38760</v>
      </c>
      <c r="D14" s="110" t="s">
        <v>252</v>
      </c>
      <c r="E14" s="77" t="s">
        <v>1298</v>
      </c>
      <c r="F14" s="110" t="s">
        <v>281</v>
      </c>
      <c r="G14" s="110">
        <v>3</v>
      </c>
      <c r="H14" s="110">
        <v>2</v>
      </c>
      <c r="I14" s="121" t="s">
        <v>348</v>
      </c>
      <c r="J14" s="122">
        <v>2401</v>
      </c>
      <c r="K14" s="6" t="s">
        <v>1299</v>
      </c>
      <c r="L14" s="110">
        <v>8</v>
      </c>
      <c r="M14" s="107" t="s">
        <v>255</v>
      </c>
    </row>
    <row r="15" spans="1:18" ht="10.9" customHeight="1" x14ac:dyDescent="0.2">
      <c r="A15" s="110">
        <v>70</v>
      </c>
      <c r="B15" s="123">
        <v>29</v>
      </c>
      <c r="C15" s="120">
        <v>38766</v>
      </c>
      <c r="D15" s="110" t="s">
        <v>261</v>
      </c>
      <c r="E15" s="77" t="s">
        <v>328</v>
      </c>
      <c r="F15" s="110" t="s">
        <v>281</v>
      </c>
      <c r="G15" s="110">
        <v>3</v>
      </c>
      <c r="H15" s="110">
        <v>1</v>
      </c>
      <c r="I15" s="121" t="s">
        <v>348</v>
      </c>
      <c r="J15" s="122">
        <v>3381</v>
      </c>
      <c r="K15" s="6" t="s">
        <v>1300</v>
      </c>
      <c r="L15" s="110">
        <v>8</v>
      </c>
      <c r="M15" s="107" t="s">
        <v>255</v>
      </c>
    </row>
    <row r="16" spans="1:18" ht="10.9" customHeight="1" x14ac:dyDescent="0.2">
      <c r="A16" s="110">
        <v>71</v>
      </c>
      <c r="B16" s="123">
        <v>35</v>
      </c>
      <c r="C16" s="120">
        <v>39147</v>
      </c>
      <c r="D16" s="110" t="s">
        <v>252</v>
      </c>
      <c r="E16" s="77" t="s">
        <v>355</v>
      </c>
      <c r="F16" s="110" t="s">
        <v>281</v>
      </c>
      <c r="G16" s="110">
        <v>2</v>
      </c>
      <c r="H16" s="110">
        <v>1</v>
      </c>
      <c r="I16" s="121" t="s">
        <v>255</v>
      </c>
      <c r="J16" s="122">
        <v>2132</v>
      </c>
      <c r="K16" s="6" t="s">
        <v>1301</v>
      </c>
      <c r="L16" s="110">
        <v>3</v>
      </c>
      <c r="M16" s="107" t="s">
        <v>255</v>
      </c>
    </row>
    <row r="17" spans="1:14" ht="10.9" customHeight="1" x14ac:dyDescent="0.2">
      <c r="A17" s="110">
        <v>71</v>
      </c>
      <c r="B17" s="123">
        <v>43</v>
      </c>
      <c r="C17" s="120">
        <v>39182</v>
      </c>
      <c r="D17" s="110" t="s">
        <v>252</v>
      </c>
      <c r="E17" s="77" t="s">
        <v>347</v>
      </c>
      <c r="F17" s="110" t="s">
        <v>281</v>
      </c>
      <c r="G17" s="110">
        <v>3</v>
      </c>
      <c r="H17" s="110">
        <v>1</v>
      </c>
      <c r="I17" s="121" t="s">
        <v>348</v>
      </c>
      <c r="J17" s="122">
        <v>2955</v>
      </c>
      <c r="K17" s="6" t="s">
        <v>1302</v>
      </c>
      <c r="L17" s="110">
        <v>4</v>
      </c>
      <c r="M17" s="107" t="s">
        <v>255</v>
      </c>
    </row>
    <row r="18" spans="1:14" ht="10.9" customHeight="1" x14ac:dyDescent="0.2">
      <c r="A18" s="110">
        <v>72</v>
      </c>
      <c r="B18" s="123">
        <v>12</v>
      </c>
      <c r="C18" s="120">
        <v>39352</v>
      </c>
      <c r="D18" s="110" t="s">
        <v>252</v>
      </c>
      <c r="E18" s="77" t="s">
        <v>349</v>
      </c>
      <c r="F18" s="110" t="s">
        <v>281</v>
      </c>
      <c r="G18" s="110">
        <v>3</v>
      </c>
      <c r="H18" s="110">
        <v>2</v>
      </c>
      <c r="I18" s="121" t="s">
        <v>255</v>
      </c>
      <c r="J18" s="122">
        <v>2134</v>
      </c>
      <c r="K18" s="6" t="s">
        <v>1236</v>
      </c>
      <c r="L18" s="110">
        <v>19</v>
      </c>
      <c r="M18" s="107" t="s">
        <v>1275</v>
      </c>
    </row>
    <row r="19" spans="1:14" ht="10.9" customHeight="1" x14ac:dyDescent="0.2">
      <c r="A19" s="110">
        <v>72</v>
      </c>
      <c r="B19" s="123">
        <v>23</v>
      </c>
      <c r="C19" s="120">
        <v>39442</v>
      </c>
      <c r="D19" s="110" t="s">
        <v>252</v>
      </c>
      <c r="E19" s="77" t="s">
        <v>1303</v>
      </c>
      <c r="F19" s="110" t="s">
        <v>281</v>
      </c>
      <c r="G19" s="110">
        <v>2</v>
      </c>
      <c r="H19" s="110">
        <v>1</v>
      </c>
      <c r="I19" s="121" t="s">
        <v>348</v>
      </c>
      <c r="J19" s="122">
        <v>3042</v>
      </c>
      <c r="K19" s="6" t="s">
        <v>1304</v>
      </c>
      <c r="L19" s="110">
        <v>12</v>
      </c>
      <c r="M19" s="107" t="s">
        <v>255</v>
      </c>
    </row>
    <row r="20" spans="1:14" ht="10.9" customHeight="1" x14ac:dyDescent="0.2">
      <c r="A20" s="110">
        <v>72</v>
      </c>
      <c r="B20" s="123">
        <v>25</v>
      </c>
      <c r="C20" s="120">
        <v>39448</v>
      </c>
      <c r="D20" s="110" t="s">
        <v>261</v>
      </c>
      <c r="E20" s="77" t="s">
        <v>1274</v>
      </c>
      <c r="F20" s="110" t="s">
        <v>281</v>
      </c>
      <c r="G20" s="110">
        <v>4</v>
      </c>
      <c r="H20" s="110">
        <v>3</v>
      </c>
      <c r="I20" s="121" t="s">
        <v>1275</v>
      </c>
      <c r="J20" s="122">
        <v>1015</v>
      </c>
      <c r="K20" s="6" t="s">
        <v>1276</v>
      </c>
      <c r="L20" s="110">
        <v>10</v>
      </c>
      <c r="M20" s="107" t="s">
        <v>1275</v>
      </c>
      <c r="N20" s="107" t="s">
        <v>1278</v>
      </c>
    </row>
    <row r="21" spans="1:14" ht="10.9" customHeight="1" x14ac:dyDescent="0.2">
      <c r="A21" s="110">
        <v>73</v>
      </c>
      <c r="B21" s="123">
        <v>24</v>
      </c>
      <c r="C21" s="120">
        <v>39802</v>
      </c>
      <c r="D21" s="110" t="s">
        <v>252</v>
      </c>
      <c r="E21" s="77" t="s">
        <v>1305</v>
      </c>
      <c r="F21" s="110" t="s">
        <v>281</v>
      </c>
      <c r="G21" s="110">
        <v>3</v>
      </c>
      <c r="H21" s="110">
        <v>1</v>
      </c>
      <c r="I21" s="121" t="s">
        <v>255</v>
      </c>
      <c r="J21" s="122">
        <v>1997</v>
      </c>
      <c r="K21" s="6" t="s">
        <v>1306</v>
      </c>
      <c r="L21" s="110">
        <v>14</v>
      </c>
      <c r="M21" s="107" t="s">
        <v>255</v>
      </c>
    </row>
    <row r="22" spans="1:14" ht="10.9" customHeight="1" x14ac:dyDescent="0.2">
      <c r="A22" s="110">
        <v>74</v>
      </c>
      <c r="B22" s="123">
        <v>6</v>
      </c>
      <c r="C22" s="120">
        <v>40050</v>
      </c>
      <c r="D22" s="110" t="s">
        <v>261</v>
      </c>
      <c r="E22" s="77" t="s">
        <v>637</v>
      </c>
      <c r="F22" s="110" t="s">
        <v>281</v>
      </c>
      <c r="G22" s="110">
        <v>2</v>
      </c>
      <c r="H22" s="110">
        <v>1</v>
      </c>
      <c r="I22" s="121" t="s">
        <v>255</v>
      </c>
      <c r="J22" s="122">
        <v>1174</v>
      </c>
      <c r="K22" s="6" t="s">
        <v>1307</v>
      </c>
      <c r="L22" s="110">
        <v>10</v>
      </c>
      <c r="M22" s="107" t="s">
        <v>255</v>
      </c>
    </row>
    <row r="23" spans="1:14" ht="10.9" customHeight="1" x14ac:dyDescent="0.2">
      <c r="A23" s="110">
        <v>74</v>
      </c>
      <c r="B23" s="123">
        <v>12</v>
      </c>
      <c r="C23" s="120">
        <v>40082</v>
      </c>
      <c r="D23" s="110" t="s">
        <v>252</v>
      </c>
      <c r="E23" s="77" t="s">
        <v>993</v>
      </c>
      <c r="F23" s="110" t="s">
        <v>281</v>
      </c>
      <c r="G23" s="110">
        <v>3</v>
      </c>
      <c r="H23" s="110">
        <v>2</v>
      </c>
      <c r="I23" s="121" t="s">
        <v>352</v>
      </c>
      <c r="J23" s="122">
        <v>2509</v>
      </c>
      <c r="K23" s="6" t="s">
        <v>1308</v>
      </c>
      <c r="L23" s="110">
        <v>5</v>
      </c>
      <c r="M23" s="107" t="s">
        <v>255</v>
      </c>
    </row>
    <row r="24" spans="1:14" ht="10.9" customHeight="1" x14ac:dyDescent="0.2">
      <c r="A24" s="110">
        <v>74</v>
      </c>
      <c r="B24" s="123">
        <v>14</v>
      </c>
      <c r="C24" s="120">
        <v>40092</v>
      </c>
      <c r="D24" s="110" t="s">
        <v>261</v>
      </c>
      <c r="E24" s="77" t="s">
        <v>1309</v>
      </c>
      <c r="F24" s="110" t="s">
        <v>281</v>
      </c>
      <c r="G24" s="110">
        <v>3</v>
      </c>
      <c r="H24" s="110">
        <v>2</v>
      </c>
      <c r="I24" s="121" t="s">
        <v>1264</v>
      </c>
      <c r="J24" s="122">
        <v>1118</v>
      </c>
      <c r="K24" s="6" t="s">
        <v>1310</v>
      </c>
      <c r="L24" s="110">
        <v>4</v>
      </c>
      <c r="M24" s="107" t="s">
        <v>255</v>
      </c>
    </row>
    <row r="25" spans="1:14" ht="10.9" customHeight="1" x14ac:dyDescent="0.2">
      <c r="A25" s="110">
        <v>74</v>
      </c>
      <c r="B25" s="123" t="s">
        <v>266</v>
      </c>
      <c r="C25" s="120">
        <v>40124</v>
      </c>
      <c r="D25" s="110" t="s">
        <v>252</v>
      </c>
      <c r="E25" s="77" t="s">
        <v>1265</v>
      </c>
      <c r="F25" s="110" t="s">
        <v>281</v>
      </c>
      <c r="G25" s="110">
        <v>3</v>
      </c>
      <c r="H25" s="110">
        <v>2</v>
      </c>
      <c r="I25" s="121" t="s">
        <v>975</v>
      </c>
      <c r="J25" s="122">
        <v>3070</v>
      </c>
      <c r="K25" s="6" t="s">
        <v>1348</v>
      </c>
      <c r="L25" s="110"/>
      <c r="M25" s="107" t="s">
        <v>255</v>
      </c>
    </row>
    <row r="26" spans="1:14" ht="10.9" customHeight="1" x14ac:dyDescent="0.2">
      <c r="A26" s="110">
        <v>74</v>
      </c>
      <c r="B26" s="123">
        <v>39</v>
      </c>
      <c r="C26" s="120">
        <v>40273</v>
      </c>
      <c r="D26" s="110" t="s">
        <v>252</v>
      </c>
      <c r="E26" s="77" t="s">
        <v>1311</v>
      </c>
      <c r="F26" s="110" t="s">
        <v>281</v>
      </c>
      <c r="G26" s="110">
        <v>2</v>
      </c>
      <c r="H26" s="110">
        <v>1</v>
      </c>
      <c r="I26" s="110" t="s">
        <v>270</v>
      </c>
      <c r="J26" s="122">
        <v>3005</v>
      </c>
      <c r="K26" s="6" t="s">
        <v>1312</v>
      </c>
      <c r="L26" s="110">
        <v>5</v>
      </c>
      <c r="M26" s="107" t="s">
        <v>255</v>
      </c>
    </row>
    <row r="27" spans="1:14" ht="10.9" customHeight="1" x14ac:dyDescent="0.2">
      <c r="A27" s="110">
        <v>75</v>
      </c>
      <c r="B27" s="123">
        <v>24</v>
      </c>
      <c r="C27" s="120">
        <v>40558</v>
      </c>
      <c r="D27" s="110" t="s">
        <v>261</v>
      </c>
      <c r="E27" s="77" t="s">
        <v>1313</v>
      </c>
      <c r="F27" s="110" t="s">
        <v>281</v>
      </c>
      <c r="G27" s="110">
        <v>2</v>
      </c>
      <c r="H27" s="110">
        <v>1</v>
      </c>
      <c r="I27" s="121" t="s">
        <v>255</v>
      </c>
      <c r="J27" s="122">
        <v>578</v>
      </c>
      <c r="K27" s="6" t="s">
        <v>1314</v>
      </c>
      <c r="L27" s="110">
        <v>10</v>
      </c>
      <c r="M27" s="107" t="s">
        <v>255</v>
      </c>
    </row>
    <row r="28" spans="1:14" ht="10.9" customHeight="1" x14ac:dyDescent="0.2">
      <c r="A28" s="110">
        <v>75</v>
      </c>
      <c r="B28" s="123">
        <v>36</v>
      </c>
      <c r="C28" s="120">
        <v>40617</v>
      </c>
      <c r="D28" s="110" t="s">
        <v>252</v>
      </c>
      <c r="E28" s="77" t="s">
        <v>362</v>
      </c>
      <c r="F28" s="110" t="s">
        <v>281</v>
      </c>
      <c r="G28" s="110">
        <v>2</v>
      </c>
      <c r="H28" s="110">
        <v>1</v>
      </c>
      <c r="I28" s="121" t="s">
        <v>255</v>
      </c>
      <c r="J28" s="122">
        <v>2261</v>
      </c>
      <c r="K28" s="6" t="s">
        <v>1315</v>
      </c>
      <c r="L28" s="110">
        <v>6</v>
      </c>
      <c r="M28" s="107" t="s">
        <v>255</v>
      </c>
    </row>
    <row r="29" spans="1:14" ht="10.9" customHeight="1" x14ac:dyDescent="0.2">
      <c r="A29" s="110">
        <v>76</v>
      </c>
      <c r="B29" s="123">
        <v>1</v>
      </c>
      <c r="C29" s="120">
        <v>40768</v>
      </c>
      <c r="D29" s="110" t="s">
        <v>261</v>
      </c>
      <c r="E29" s="77" t="s">
        <v>1316</v>
      </c>
      <c r="F29" s="110" t="s">
        <v>281</v>
      </c>
      <c r="G29" s="110">
        <v>2</v>
      </c>
      <c r="H29" s="110">
        <v>1</v>
      </c>
      <c r="I29" s="110" t="s">
        <v>270</v>
      </c>
      <c r="J29" s="122">
        <v>1522</v>
      </c>
      <c r="K29" s="6" t="s">
        <v>1317</v>
      </c>
      <c r="L29" s="110">
        <v>5</v>
      </c>
      <c r="M29" s="107" t="s">
        <v>255</v>
      </c>
    </row>
    <row r="30" spans="1:14" ht="10.9" customHeight="1" x14ac:dyDescent="0.2">
      <c r="A30" s="110">
        <v>76</v>
      </c>
      <c r="B30" s="123">
        <v>16</v>
      </c>
      <c r="C30" s="120">
        <v>40831</v>
      </c>
      <c r="D30" s="110" t="s">
        <v>252</v>
      </c>
      <c r="E30" s="77" t="s">
        <v>1318</v>
      </c>
      <c r="F30" s="110" t="s">
        <v>281</v>
      </c>
      <c r="G30" s="110">
        <v>2</v>
      </c>
      <c r="H30" s="110">
        <v>1</v>
      </c>
      <c r="I30" s="121" t="s">
        <v>1264</v>
      </c>
      <c r="J30" s="122">
        <v>3872</v>
      </c>
      <c r="K30" s="6" t="s">
        <v>1319</v>
      </c>
      <c r="L30" s="110">
        <v>3</v>
      </c>
      <c r="M30" s="107" t="s">
        <v>255</v>
      </c>
    </row>
    <row r="31" spans="1:14" ht="10.9" customHeight="1" x14ac:dyDescent="0.2">
      <c r="A31" s="110">
        <v>76</v>
      </c>
      <c r="B31" s="123">
        <v>32</v>
      </c>
      <c r="C31" s="120">
        <v>40957</v>
      </c>
      <c r="D31" s="110" t="s">
        <v>252</v>
      </c>
      <c r="E31" s="77" t="s">
        <v>1160</v>
      </c>
      <c r="F31" s="110" t="s">
        <v>281</v>
      </c>
      <c r="G31" s="110">
        <v>2</v>
      </c>
      <c r="H31" s="110">
        <v>1</v>
      </c>
      <c r="I31" s="110" t="s">
        <v>270</v>
      </c>
      <c r="J31" s="122">
        <v>3370</v>
      </c>
      <c r="K31" s="6" t="s">
        <v>1320</v>
      </c>
      <c r="L31" s="110">
        <v>4</v>
      </c>
      <c r="M31" s="107" t="s">
        <v>255</v>
      </c>
    </row>
    <row r="32" spans="1:14" ht="10.9" customHeight="1" x14ac:dyDescent="0.2">
      <c r="A32" s="110">
        <v>76</v>
      </c>
      <c r="B32" s="123">
        <v>39</v>
      </c>
      <c r="C32" s="120">
        <v>40998</v>
      </c>
      <c r="D32" s="110" t="s">
        <v>261</v>
      </c>
      <c r="E32" s="77" t="s">
        <v>483</v>
      </c>
      <c r="F32" s="110" t="s">
        <v>281</v>
      </c>
      <c r="G32" s="110">
        <v>2</v>
      </c>
      <c r="H32" s="110">
        <v>1</v>
      </c>
      <c r="I32" s="121" t="s">
        <v>255</v>
      </c>
      <c r="J32" s="122">
        <v>5925</v>
      </c>
      <c r="K32" s="6" t="s">
        <v>1250</v>
      </c>
      <c r="L32" s="110">
        <v>4</v>
      </c>
      <c r="M32" s="107" t="s">
        <v>255</v>
      </c>
    </row>
    <row r="33" spans="1:18" ht="10.9" customHeight="1" x14ac:dyDescent="0.2">
      <c r="A33" s="110">
        <v>76</v>
      </c>
      <c r="B33" s="123" t="s">
        <v>1266</v>
      </c>
      <c r="C33" s="120">
        <v>41049</v>
      </c>
      <c r="D33" s="110" t="s">
        <v>900</v>
      </c>
      <c r="E33" s="77" t="s">
        <v>483</v>
      </c>
      <c r="F33" s="110" t="s">
        <v>281</v>
      </c>
      <c r="G33" s="110">
        <v>2</v>
      </c>
      <c r="H33" s="110">
        <v>1</v>
      </c>
      <c r="I33" s="110" t="s">
        <v>1264</v>
      </c>
      <c r="J33" s="122">
        <v>39265</v>
      </c>
      <c r="K33" s="10" t="s">
        <v>1342</v>
      </c>
      <c r="L33" s="77"/>
      <c r="M33" s="107" t="s">
        <v>255</v>
      </c>
      <c r="N33" s="123"/>
      <c r="O33" s="77"/>
      <c r="P33" s="122"/>
      <c r="Q33" s="130"/>
      <c r="R33" s="130"/>
    </row>
    <row r="34" spans="1:18" ht="10.9" customHeight="1" x14ac:dyDescent="0.2">
      <c r="A34" s="23">
        <v>79</v>
      </c>
      <c r="B34" s="113">
        <v>18</v>
      </c>
      <c r="C34" s="111">
        <v>41965</v>
      </c>
      <c r="D34" s="23" t="s">
        <v>261</v>
      </c>
      <c r="E34" s="2" t="s">
        <v>1321</v>
      </c>
      <c r="F34" s="23" t="s">
        <v>281</v>
      </c>
      <c r="G34" s="23">
        <v>3</v>
      </c>
      <c r="H34" s="23">
        <v>1</v>
      </c>
      <c r="I34" s="102" t="s">
        <v>255</v>
      </c>
      <c r="J34" s="132">
        <v>4234</v>
      </c>
      <c r="K34" s="6" t="s">
        <v>1322</v>
      </c>
      <c r="L34" s="23">
        <v>20</v>
      </c>
      <c r="M34" s="107" t="s">
        <v>255</v>
      </c>
    </row>
    <row r="35" spans="1:18" ht="10.9" customHeight="1" x14ac:dyDescent="0.2">
      <c r="A35" s="23">
        <v>79</v>
      </c>
      <c r="B35" s="113">
        <v>43</v>
      </c>
      <c r="C35" s="111">
        <v>42108</v>
      </c>
      <c r="D35" s="23" t="s">
        <v>252</v>
      </c>
      <c r="E35" s="2" t="s">
        <v>1323</v>
      </c>
      <c r="F35" s="23" t="s">
        <v>281</v>
      </c>
      <c r="G35" s="23">
        <v>2</v>
      </c>
      <c r="H35" s="23">
        <v>1</v>
      </c>
      <c r="I35" s="107" t="s">
        <v>1264</v>
      </c>
      <c r="J35" s="132">
        <v>2854</v>
      </c>
      <c r="K35" s="6" t="s">
        <v>1324</v>
      </c>
      <c r="L35" s="23">
        <v>18</v>
      </c>
      <c r="M35" s="107" t="s">
        <v>255</v>
      </c>
    </row>
    <row r="36" spans="1:18" ht="10.9" customHeight="1" x14ac:dyDescent="0.2">
      <c r="A36" s="110">
        <v>81</v>
      </c>
      <c r="B36" s="123">
        <v>6</v>
      </c>
      <c r="C36" s="120">
        <v>42609</v>
      </c>
      <c r="D36" s="110" t="s">
        <v>252</v>
      </c>
      <c r="E36" s="77" t="s">
        <v>1294</v>
      </c>
      <c r="F36" s="110" t="s">
        <v>281</v>
      </c>
      <c r="G36" s="110">
        <v>4</v>
      </c>
      <c r="H36" s="110">
        <v>1</v>
      </c>
      <c r="I36" s="133" t="s">
        <v>1325</v>
      </c>
      <c r="J36" s="122">
        <v>1972</v>
      </c>
      <c r="K36" s="6" t="s">
        <v>1326</v>
      </c>
      <c r="L36" s="110">
        <v>14</v>
      </c>
      <c r="M36" s="107" t="s">
        <v>255</v>
      </c>
    </row>
    <row r="37" spans="1:18" ht="10.9" customHeight="1" x14ac:dyDescent="0.2">
      <c r="A37" s="144">
        <v>81</v>
      </c>
      <c r="B37" s="146" t="s">
        <v>1267</v>
      </c>
      <c r="C37" s="145">
        <v>42808</v>
      </c>
      <c r="D37" s="144" t="s">
        <v>252</v>
      </c>
      <c r="E37" s="143" t="s">
        <v>1268</v>
      </c>
      <c r="F37" s="144" t="s">
        <v>281</v>
      </c>
      <c r="G37" s="144">
        <v>2</v>
      </c>
      <c r="H37" s="144">
        <v>1</v>
      </c>
      <c r="I37" s="144" t="s">
        <v>255</v>
      </c>
      <c r="J37" s="147">
        <v>3294</v>
      </c>
      <c r="K37" s="6" t="s">
        <v>1343</v>
      </c>
      <c r="L37" s="2"/>
      <c r="M37" s="107" t="s">
        <v>255</v>
      </c>
      <c r="N37" s="146"/>
      <c r="O37" s="2"/>
      <c r="P37" s="122"/>
      <c r="Q37" s="130"/>
      <c r="R37" s="130"/>
    </row>
    <row r="38" spans="1:18" ht="10.9" customHeight="1" x14ac:dyDescent="0.2">
      <c r="A38" s="110">
        <v>81</v>
      </c>
      <c r="B38" s="123">
        <v>37</v>
      </c>
      <c r="C38" s="120">
        <v>42815</v>
      </c>
      <c r="D38" s="110" t="s">
        <v>252</v>
      </c>
      <c r="E38" s="77" t="s">
        <v>1277</v>
      </c>
      <c r="F38" s="110" t="s">
        <v>281</v>
      </c>
      <c r="G38" s="110">
        <v>5</v>
      </c>
      <c r="H38" s="110">
        <v>3</v>
      </c>
      <c r="I38" s="121" t="s">
        <v>1278</v>
      </c>
      <c r="J38" s="122">
        <v>2482</v>
      </c>
      <c r="K38" s="6" t="s">
        <v>1279</v>
      </c>
      <c r="L38" s="110">
        <v>22</v>
      </c>
      <c r="M38" s="107" t="s">
        <v>994</v>
      </c>
    </row>
    <row r="39" spans="1:18" ht="10.9" customHeight="1" x14ac:dyDescent="0.2">
      <c r="A39" s="134">
        <v>82</v>
      </c>
      <c r="B39" s="140" t="s">
        <v>1155</v>
      </c>
      <c r="C39" s="135">
        <v>42994</v>
      </c>
      <c r="D39" s="134" t="s">
        <v>261</v>
      </c>
      <c r="E39" s="136" t="s">
        <v>1269</v>
      </c>
      <c r="F39" s="134" t="s">
        <v>281</v>
      </c>
      <c r="G39" s="134">
        <v>2</v>
      </c>
      <c r="H39" s="134">
        <v>1</v>
      </c>
      <c r="I39" s="137" t="s">
        <v>255</v>
      </c>
      <c r="J39" s="138">
        <v>1350</v>
      </c>
      <c r="K39" s="139" t="s">
        <v>1349</v>
      </c>
      <c r="L39" s="134"/>
      <c r="M39" s="107" t="s">
        <v>255</v>
      </c>
    </row>
    <row r="40" spans="1:18" ht="10.9" customHeight="1" x14ac:dyDescent="0.2">
      <c r="A40" s="134">
        <v>82</v>
      </c>
      <c r="B40" s="140">
        <v>24</v>
      </c>
      <c r="C40" s="135">
        <v>43106</v>
      </c>
      <c r="D40" s="134" t="s">
        <v>261</v>
      </c>
      <c r="E40" s="136" t="s">
        <v>1327</v>
      </c>
      <c r="F40" s="134" t="s">
        <v>281</v>
      </c>
      <c r="G40" s="134">
        <v>2</v>
      </c>
      <c r="H40" s="134">
        <v>1</v>
      </c>
      <c r="I40" s="137" t="s">
        <v>255</v>
      </c>
      <c r="J40" s="138">
        <v>2405</v>
      </c>
      <c r="K40" s="139" t="s">
        <v>1328</v>
      </c>
      <c r="L40" s="134">
        <v>8</v>
      </c>
      <c r="M40" s="107" t="s">
        <v>255</v>
      </c>
    </row>
    <row r="41" spans="1:18" ht="10.9" customHeight="1" x14ac:dyDescent="0.2">
      <c r="A41" s="134">
        <v>83</v>
      </c>
      <c r="B41" s="140">
        <v>10</v>
      </c>
      <c r="C41" s="135">
        <v>43372</v>
      </c>
      <c r="D41" s="134" t="s">
        <v>252</v>
      </c>
      <c r="E41" s="136" t="s">
        <v>1329</v>
      </c>
      <c r="F41" s="134" t="s">
        <v>281</v>
      </c>
      <c r="G41" s="134">
        <v>4</v>
      </c>
      <c r="H41" s="134">
        <v>2</v>
      </c>
      <c r="I41" s="137" t="s">
        <v>352</v>
      </c>
      <c r="J41" s="138">
        <v>2331</v>
      </c>
      <c r="K41" s="139" t="s">
        <v>1330</v>
      </c>
      <c r="L41" s="134">
        <v>12</v>
      </c>
      <c r="M41" s="107" t="s">
        <v>255</v>
      </c>
    </row>
    <row r="42" spans="1:18" ht="10.9" customHeight="1" x14ac:dyDescent="0.2">
      <c r="A42" s="134">
        <v>83</v>
      </c>
      <c r="B42" s="140">
        <v>12</v>
      </c>
      <c r="C42" s="135">
        <v>43386</v>
      </c>
      <c r="D42" s="134" t="s">
        <v>261</v>
      </c>
      <c r="E42" s="136" t="s">
        <v>1331</v>
      </c>
      <c r="F42" s="134" t="s">
        <v>281</v>
      </c>
      <c r="G42" s="134">
        <v>2</v>
      </c>
      <c r="H42" s="134">
        <v>1</v>
      </c>
      <c r="I42" s="137" t="s">
        <v>327</v>
      </c>
      <c r="J42" s="138">
        <v>1149</v>
      </c>
      <c r="K42" s="141" t="s">
        <v>1332</v>
      </c>
      <c r="L42" s="134">
        <v>8</v>
      </c>
      <c r="M42" s="107" t="s">
        <v>255</v>
      </c>
    </row>
    <row r="43" spans="1:18" ht="10.9" customHeight="1" x14ac:dyDescent="0.2">
      <c r="A43" s="134">
        <v>83</v>
      </c>
      <c r="B43" s="140">
        <v>28</v>
      </c>
      <c r="C43" s="135">
        <v>43498</v>
      </c>
      <c r="D43" s="134" t="s">
        <v>261</v>
      </c>
      <c r="E43" s="136" t="s">
        <v>1333</v>
      </c>
      <c r="F43" s="134" t="s">
        <v>281</v>
      </c>
      <c r="G43" s="134">
        <v>3</v>
      </c>
      <c r="H43" s="134">
        <v>2</v>
      </c>
      <c r="I43" s="137" t="s">
        <v>327</v>
      </c>
      <c r="J43" s="138">
        <v>655</v>
      </c>
      <c r="K43" s="141" t="s">
        <v>1334</v>
      </c>
      <c r="L43" s="134">
        <v>16</v>
      </c>
      <c r="M43" s="107" t="s">
        <v>975</v>
      </c>
    </row>
    <row r="44" spans="1:18" ht="10.9" customHeight="1" x14ac:dyDescent="0.2">
      <c r="A44" s="134">
        <v>83</v>
      </c>
      <c r="B44" s="140">
        <v>41</v>
      </c>
      <c r="C44" s="135">
        <v>43577</v>
      </c>
      <c r="D44" s="134" t="s">
        <v>261</v>
      </c>
      <c r="E44" s="136" t="s">
        <v>1335</v>
      </c>
      <c r="F44" s="134" t="s">
        <v>281</v>
      </c>
      <c r="G44" s="134">
        <v>3</v>
      </c>
      <c r="H44" s="134">
        <v>1</v>
      </c>
      <c r="I44" s="137" t="s">
        <v>270</v>
      </c>
      <c r="J44" s="138">
        <v>775</v>
      </c>
      <c r="K44" s="139" t="s">
        <v>1336</v>
      </c>
      <c r="L44" s="134">
        <v>12</v>
      </c>
      <c r="M44" s="107" t="s">
        <v>255</v>
      </c>
    </row>
    <row r="45" spans="1:18" ht="10.9" customHeight="1" x14ac:dyDescent="0.2">
      <c r="A45" s="134">
        <v>84</v>
      </c>
      <c r="B45" s="140">
        <v>1</v>
      </c>
      <c r="C45" s="135">
        <v>43680</v>
      </c>
      <c r="D45" s="134" t="s">
        <v>261</v>
      </c>
      <c r="E45" s="136" t="s">
        <v>562</v>
      </c>
      <c r="F45" s="134" t="s">
        <v>281</v>
      </c>
      <c r="G45" s="134">
        <v>3</v>
      </c>
      <c r="H45" s="134">
        <v>1</v>
      </c>
      <c r="I45" s="137" t="s">
        <v>327</v>
      </c>
      <c r="J45" s="138">
        <v>1879</v>
      </c>
      <c r="K45" s="139" t="s">
        <v>1337</v>
      </c>
      <c r="L45" s="134">
        <v>3</v>
      </c>
      <c r="M45" s="107" t="s">
        <v>255</v>
      </c>
    </row>
    <row r="46" spans="1:18" ht="10.9" customHeight="1" x14ac:dyDescent="0.2">
      <c r="A46" s="134">
        <v>84</v>
      </c>
      <c r="B46" s="140" t="s">
        <v>1270</v>
      </c>
      <c r="C46" s="135">
        <v>43743</v>
      </c>
      <c r="D46" s="134" t="s">
        <v>261</v>
      </c>
      <c r="E46" s="136" t="s">
        <v>1271</v>
      </c>
      <c r="F46" s="134" t="s">
        <v>281</v>
      </c>
      <c r="G46" s="134">
        <v>2</v>
      </c>
      <c r="H46" s="134">
        <v>1</v>
      </c>
      <c r="I46" s="137" t="s">
        <v>255</v>
      </c>
      <c r="J46" s="138">
        <v>901</v>
      </c>
      <c r="K46" s="139" t="s">
        <v>1347</v>
      </c>
      <c r="L46" s="134"/>
      <c r="M46" s="107" t="s">
        <v>255</v>
      </c>
    </row>
    <row r="47" spans="1:18" ht="10.9" customHeight="1" x14ac:dyDescent="0.2">
      <c r="A47" s="134">
        <v>85</v>
      </c>
      <c r="B47" s="140">
        <v>4</v>
      </c>
      <c r="C47" s="135">
        <v>44145</v>
      </c>
      <c r="D47" s="134" t="s">
        <v>261</v>
      </c>
      <c r="E47" s="136" t="s">
        <v>1331</v>
      </c>
      <c r="F47" s="134" t="s">
        <v>281</v>
      </c>
      <c r="G47" s="134">
        <v>3</v>
      </c>
      <c r="H47" s="134">
        <v>2</v>
      </c>
      <c r="I47" s="137" t="s">
        <v>255</v>
      </c>
      <c r="J47" s="138"/>
      <c r="K47" s="142" t="s">
        <v>1338</v>
      </c>
      <c r="L47" s="134">
        <v>7</v>
      </c>
      <c r="M47" s="107" t="s">
        <v>255</v>
      </c>
      <c r="N47" s="107" t="s">
        <v>975</v>
      </c>
    </row>
    <row r="48" spans="1:18" ht="10.9" customHeight="1" x14ac:dyDescent="0.2">
      <c r="A48" s="134">
        <v>86</v>
      </c>
      <c r="B48" s="140" t="s">
        <v>1272</v>
      </c>
      <c r="C48" s="135">
        <v>44604</v>
      </c>
      <c r="D48" s="134" t="s">
        <v>252</v>
      </c>
      <c r="E48" s="136" t="s">
        <v>1273</v>
      </c>
      <c r="F48" s="134" t="s">
        <v>281</v>
      </c>
      <c r="G48" s="134">
        <v>3</v>
      </c>
      <c r="H48" s="134">
        <v>2</v>
      </c>
      <c r="I48" s="137" t="s">
        <v>255</v>
      </c>
      <c r="J48" s="138">
        <v>2725</v>
      </c>
      <c r="K48" s="142" t="s">
        <v>1344</v>
      </c>
      <c r="L48" s="134"/>
      <c r="M48" s="107" t="s">
        <v>1275</v>
      </c>
      <c r="N48" s="107"/>
    </row>
    <row r="49" spans="1:111" ht="10.9" customHeight="1" x14ac:dyDescent="0.2">
      <c r="A49" s="110">
        <v>87</v>
      </c>
      <c r="B49" s="123">
        <v>8</v>
      </c>
      <c r="C49" s="120">
        <v>44817</v>
      </c>
      <c r="D49" s="110" t="s">
        <v>252</v>
      </c>
      <c r="E49" s="77" t="s">
        <v>1432</v>
      </c>
      <c r="F49" s="110" t="s">
        <v>281</v>
      </c>
      <c r="G49" s="110">
        <v>2</v>
      </c>
      <c r="H49" s="110">
        <v>1</v>
      </c>
      <c r="I49" s="121" t="s">
        <v>255</v>
      </c>
      <c r="J49" s="122">
        <v>3492</v>
      </c>
      <c r="K49" s="6" t="s">
        <v>1433</v>
      </c>
      <c r="L49" s="110">
        <v>7</v>
      </c>
      <c r="M49" s="107" t="s">
        <v>255</v>
      </c>
    </row>
    <row r="50" spans="1:111" s="2" customFormat="1" ht="11.25" x14ac:dyDescent="0.2">
      <c r="A50" s="110">
        <v>87</v>
      </c>
      <c r="B50" s="123">
        <v>26</v>
      </c>
      <c r="C50" s="120">
        <v>44933</v>
      </c>
      <c r="D50" s="110" t="s">
        <v>252</v>
      </c>
      <c r="E50" s="77" t="s">
        <v>1478</v>
      </c>
      <c r="F50" s="110" t="s">
        <v>281</v>
      </c>
      <c r="G50" s="110">
        <v>4</v>
      </c>
      <c r="H50" s="110">
        <v>1</v>
      </c>
      <c r="I50" s="121" t="s">
        <v>1405</v>
      </c>
      <c r="J50" s="122">
        <v>3832</v>
      </c>
      <c r="K50" s="6" t="s">
        <v>1479</v>
      </c>
      <c r="L50" s="110">
        <v>14</v>
      </c>
      <c r="M50" s="107" t="s">
        <v>255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153"/>
      <c r="AC50" s="153"/>
      <c r="AD50" s="10"/>
      <c r="AE50" s="10"/>
      <c r="AF50" s="153"/>
      <c r="AG50" s="77"/>
      <c r="AH50" s="154"/>
      <c r="AI50" s="155"/>
      <c r="AJ50" s="155"/>
      <c r="AK50" s="155"/>
      <c r="AL50" s="155"/>
      <c r="AM50" s="154"/>
      <c r="AN50" s="154"/>
      <c r="AO50" s="154"/>
      <c r="AP50" s="154"/>
      <c r="AQ50" s="154"/>
      <c r="AR50" s="27"/>
      <c r="AS50" s="154"/>
      <c r="AT50" s="154"/>
      <c r="AU50" s="110"/>
      <c r="AV50" s="123"/>
      <c r="AW50" s="156"/>
      <c r="AX50" s="130"/>
      <c r="AY50" s="130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23"/>
      <c r="BR50" s="113"/>
      <c r="BS50" s="33"/>
      <c r="BT50" s="33"/>
      <c r="BU50" s="113"/>
      <c r="BV50" s="33"/>
      <c r="BW50" s="33"/>
      <c r="BX50" s="113"/>
      <c r="BY50" s="33"/>
      <c r="BZ50" s="33"/>
      <c r="CA50" s="113"/>
      <c r="CB50" s="33"/>
      <c r="CC50" s="33"/>
      <c r="CD50" s="113"/>
      <c r="CE50" s="33"/>
      <c r="CF50" s="33"/>
      <c r="CG50" s="113"/>
      <c r="CH50" s="33"/>
      <c r="CI50" s="33"/>
      <c r="CJ50" s="11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</row>
    <row r="51" spans="1:111" s="2" customFormat="1" ht="11.25" x14ac:dyDescent="0.2">
      <c r="A51" s="110">
        <v>87</v>
      </c>
      <c r="B51" s="123">
        <v>42</v>
      </c>
      <c r="C51" s="120">
        <v>45023</v>
      </c>
      <c r="D51" s="110" t="s">
        <v>261</v>
      </c>
      <c r="E51" s="77" t="s">
        <v>580</v>
      </c>
      <c r="F51" s="110" t="s">
        <v>281</v>
      </c>
      <c r="G51" s="110">
        <v>3</v>
      </c>
      <c r="H51" s="110">
        <v>1</v>
      </c>
      <c r="I51" s="121" t="s">
        <v>327</v>
      </c>
      <c r="J51" s="122">
        <v>8638</v>
      </c>
      <c r="K51" s="6" t="s">
        <v>1611</v>
      </c>
      <c r="L51" s="110">
        <v>14</v>
      </c>
      <c r="M51" s="107" t="s">
        <v>255</v>
      </c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153"/>
      <c r="AC51" s="153"/>
      <c r="AD51" s="10"/>
      <c r="AE51" s="10"/>
      <c r="AF51" s="153"/>
      <c r="AG51" s="77"/>
      <c r="AH51" s="154"/>
      <c r="AI51" s="155"/>
      <c r="AJ51" s="155"/>
      <c r="AK51" s="155"/>
      <c r="AL51" s="155"/>
      <c r="AM51" s="154"/>
      <c r="AN51" s="154"/>
      <c r="AO51" s="154"/>
      <c r="AP51" s="154"/>
      <c r="AQ51" s="154"/>
      <c r="AR51" s="27"/>
      <c r="AS51" s="154"/>
      <c r="AT51" s="154"/>
      <c r="AU51" s="110"/>
      <c r="AV51" s="123"/>
      <c r="AW51" s="156"/>
      <c r="AX51" s="130"/>
      <c r="AY51" s="130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23"/>
      <c r="BR51" s="113"/>
      <c r="BS51" s="33"/>
      <c r="BT51" s="33"/>
      <c r="BU51" s="113"/>
      <c r="BV51" s="33"/>
      <c r="BW51" s="33"/>
      <c r="BX51" s="113"/>
      <c r="BY51" s="33"/>
      <c r="BZ51" s="33"/>
      <c r="CA51" s="113"/>
      <c r="CB51" s="33"/>
      <c r="CC51" s="33"/>
      <c r="CD51" s="113"/>
      <c r="CE51" s="33"/>
      <c r="CF51" s="33"/>
      <c r="CG51" s="113"/>
      <c r="CH51" s="33"/>
      <c r="CI51" s="33"/>
      <c r="CJ51" s="11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</row>
    <row r="52" spans="1:111" ht="10.9" customHeight="1" x14ac:dyDescent="0.2">
      <c r="A52" s="110">
        <v>88</v>
      </c>
      <c r="B52" s="123">
        <v>14</v>
      </c>
      <c r="C52" s="120">
        <v>45202</v>
      </c>
      <c r="D52" s="110" t="s">
        <v>261</v>
      </c>
      <c r="E52" s="77" t="s">
        <v>1616</v>
      </c>
      <c r="F52" s="110" t="s">
        <v>281</v>
      </c>
      <c r="G52" s="110">
        <v>2</v>
      </c>
      <c r="H52" s="110">
        <v>1</v>
      </c>
      <c r="I52" s="121" t="s">
        <v>270</v>
      </c>
      <c r="J52" s="122">
        <v>1315</v>
      </c>
      <c r="K52" s="6" t="s">
        <v>1617</v>
      </c>
      <c r="L52" s="110">
        <v>17</v>
      </c>
      <c r="M52" s="107" t="s">
        <v>255</v>
      </c>
    </row>
    <row r="53" spans="1:111" ht="10.9" customHeight="1" x14ac:dyDescent="0.2">
      <c r="A53" s="110">
        <v>88</v>
      </c>
      <c r="B53" s="123">
        <v>42</v>
      </c>
      <c r="C53" s="120">
        <v>45380</v>
      </c>
      <c r="D53" s="110" t="s">
        <v>252</v>
      </c>
      <c r="E53" s="77" t="s">
        <v>341</v>
      </c>
      <c r="F53" s="110" t="s">
        <v>281</v>
      </c>
      <c r="G53" s="110">
        <v>2</v>
      </c>
      <c r="H53" s="110">
        <v>1</v>
      </c>
      <c r="I53" s="121" t="s">
        <v>255</v>
      </c>
      <c r="J53" s="122">
        <v>7571</v>
      </c>
      <c r="K53" s="146" t="s">
        <v>1666</v>
      </c>
      <c r="L53" s="110">
        <v>16</v>
      </c>
      <c r="M53" s="107" t="s">
        <v>255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153"/>
      <c r="AC53" s="153"/>
      <c r="AD53" s="10"/>
      <c r="AE53" s="10"/>
    </row>
    <row r="54" spans="1:111" ht="10.9" customHeight="1" x14ac:dyDescent="0.2">
      <c r="A54" s="110">
        <v>89</v>
      </c>
      <c r="B54" s="123">
        <v>8</v>
      </c>
      <c r="C54" s="120">
        <v>45545</v>
      </c>
      <c r="D54" s="110" t="s">
        <v>252</v>
      </c>
      <c r="E54" s="77" t="s">
        <v>1671</v>
      </c>
      <c r="F54" s="110" t="s">
        <v>281</v>
      </c>
      <c r="G54" s="110">
        <v>2</v>
      </c>
      <c r="H54" s="110">
        <v>1</v>
      </c>
      <c r="I54" s="121" t="s">
        <v>352</v>
      </c>
      <c r="J54" s="122">
        <v>4494</v>
      </c>
      <c r="K54" s="6" t="s">
        <v>1672</v>
      </c>
      <c r="L54" s="110">
        <v>5</v>
      </c>
      <c r="M54" s="107" t="s">
        <v>255</v>
      </c>
    </row>
    <row r="55" spans="1:111" ht="10.9" customHeight="1" x14ac:dyDescent="0.2">
      <c r="A55" s="110">
        <v>89</v>
      </c>
      <c r="B55" s="123">
        <v>15</v>
      </c>
      <c r="C55" s="120">
        <v>45587</v>
      </c>
      <c r="D55" s="110" t="s">
        <v>252</v>
      </c>
      <c r="E55" s="77" t="s">
        <v>1673</v>
      </c>
      <c r="F55" s="110" t="s">
        <v>281</v>
      </c>
      <c r="G55" s="110">
        <v>3</v>
      </c>
      <c r="H55" s="110">
        <v>1</v>
      </c>
      <c r="I55" s="121" t="s">
        <v>327</v>
      </c>
      <c r="J55" s="122">
        <v>6041</v>
      </c>
      <c r="K55" s="146" t="s">
        <v>1674</v>
      </c>
      <c r="L55" s="110">
        <v>2</v>
      </c>
      <c r="M55" s="107" t="s">
        <v>255</v>
      </c>
    </row>
  </sheetData>
  <autoFilter ref="A1:N54"/>
  <sortState ref="A2:AY53">
    <sortCondition ref="C2:C53"/>
  </sortState>
  <phoneticPr fontId="29" type="noConversion"/>
  <conditionalFormatting sqref="AR50:AR51">
    <cfRule type="cellIs" dxfId="4" priority="3" operator="lessThan">
      <formula>$AQ50</formula>
    </cfRule>
  </conditionalFormatting>
  <conditionalFormatting sqref="AX50:AY51">
    <cfRule type="cellIs" dxfId="3" priority="1" stopIfTrue="1" operator="greaterThan">
      <formula>0.5</formula>
    </cfRule>
    <cfRule type="cellIs" dxfId="2" priority="2" stopIfTrue="1" operator="lessThanOrEqual">
      <formula>0.5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zoomScale="125" zoomScaleNormal="125" workbookViewId="0">
      <pane xSplit="3" ySplit="1" topLeftCell="D77" activePane="bottomRight" state="frozen"/>
      <selection pane="topRight" activeCell="D1" sqref="D1"/>
      <selection pane="bottomLeft" activeCell="A2" sqref="A2"/>
      <selection pane="bottomRight" activeCell="A67" sqref="A67"/>
    </sheetView>
  </sheetViews>
  <sheetFormatPr defaultRowHeight="10.9" customHeight="1" x14ac:dyDescent="0.2"/>
  <cols>
    <col min="1" max="1" width="10.140625" bestFit="1" customWidth="1"/>
    <col min="2" max="2" width="5.5703125" style="148" bestFit="1" customWidth="1"/>
    <col min="3" max="3" width="8.85546875" customWidth="1"/>
    <col min="4" max="4" width="5.140625" bestFit="1" customWidth="1"/>
    <col min="5" max="5" width="17.140625" bestFit="1" customWidth="1"/>
    <col min="6" max="6" width="3" bestFit="1" customWidth="1"/>
    <col min="7" max="8" width="2.7109375" customWidth="1"/>
    <col min="9" max="9" width="3.5703125" bestFit="1" customWidth="1"/>
    <col min="10" max="10" width="5.7109375" style="160" bestFit="1" customWidth="1"/>
    <col min="11" max="11" width="24.5703125" bestFit="1" customWidth="1"/>
  </cols>
  <sheetData>
    <row r="1" spans="1:11" s="165" customFormat="1" ht="10.9" customHeight="1" x14ac:dyDescent="0.2">
      <c r="A1" s="19" t="s">
        <v>61</v>
      </c>
      <c r="B1" s="21" t="s">
        <v>1345</v>
      </c>
      <c r="C1" s="19" t="s">
        <v>250</v>
      </c>
      <c r="D1" s="19" t="s">
        <v>257</v>
      </c>
      <c r="E1" s="18" t="s">
        <v>258</v>
      </c>
      <c r="F1" s="19" t="s">
        <v>259</v>
      </c>
      <c r="G1" s="19" t="s">
        <v>260</v>
      </c>
      <c r="H1" s="19" t="s">
        <v>261</v>
      </c>
      <c r="I1" s="19" t="s">
        <v>262</v>
      </c>
      <c r="J1" s="20" t="s">
        <v>889</v>
      </c>
      <c r="K1" s="21" t="s">
        <v>264</v>
      </c>
    </row>
    <row r="2" spans="1:11" ht="10.9" customHeight="1" x14ac:dyDescent="0.2">
      <c r="A2" s="157" t="s">
        <v>1608</v>
      </c>
      <c r="B2" s="157"/>
      <c r="C2" s="157"/>
      <c r="D2" s="3"/>
      <c r="E2" s="102"/>
      <c r="F2" s="102"/>
      <c r="G2" s="102"/>
      <c r="H2" s="102"/>
      <c r="I2" s="132"/>
      <c r="J2" s="161"/>
    </row>
    <row r="3" spans="1:11" ht="10.9" customHeight="1" x14ac:dyDescent="0.2">
      <c r="A3" s="1">
        <v>1</v>
      </c>
      <c r="B3" s="1">
        <v>20</v>
      </c>
      <c r="C3" s="5">
        <v>10955</v>
      </c>
      <c r="D3" s="23" t="s">
        <v>252</v>
      </c>
      <c r="E3" s="2" t="s">
        <v>1527</v>
      </c>
      <c r="F3" s="23" t="s">
        <v>281</v>
      </c>
      <c r="G3" s="23">
        <v>4</v>
      </c>
      <c r="H3" s="23">
        <v>0</v>
      </c>
      <c r="I3" s="23"/>
      <c r="J3" s="149">
        <v>4395</v>
      </c>
      <c r="K3" s="113" t="s">
        <v>1528</v>
      </c>
    </row>
    <row r="4" spans="1:11" ht="10.9" customHeight="1" x14ac:dyDescent="0.2">
      <c r="A4" s="1">
        <v>1</v>
      </c>
      <c r="B4" s="1">
        <v>25</v>
      </c>
      <c r="C4" s="5">
        <v>10990</v>
      </c>
      <c r="D4" s="23" t="s">
        <v>252</v>
      </c>
      <c r="E4" s="2" t="s">
        <v>1265</v>
      </c>
      <c r="F4" s="23" t="s">
        <v>281</v>
      </c>
      <c r="G4" s="23">
        <v>4</v>
      </c>
      <c r="H4" s="23">
        <v>2</v>
      </c>
      <c r="I4" s="23"/>
      <c r="J4" s="149">
        <v>4631</v>
      </c>
      <c r="K4" s="113" t="s">
        <v>1529</v>
      </c>
    </row>
    <row r="5" spans="1:11" ht="10.9" customHeight="1" x14ac:dyDescent="0.2">
      <c r="A5" s="1">
        <v>2</v>
      </c>
      <c r="B5" s="1">
        <v>25</v>
      </c>
      <c r="C5" s="5">
        <v>11358</v>
      </c>
      <c r="D5" s="23" t="s">
        <v>252</v>
      </c>
      <c r="E5" s="2" t="s">
        <v>1530</v>
      </c>
      <c r="F5" s="23" t="s">
        <v>281</v>
      </c>
      <c r="G5" s="23">
        <v>4</v>
      </c>
      <c r="H5" s="23">
        <v>2</v>
      </c>
      <c r="I5" s="23"/>
      <c r="J5" s="149">
        <v>1793</v>
      </c>
      <c r="K5" s="113" t="s">
        <v>1531</v>
      </c>
    </row>
    <row r="6" spans="1:11" ht="10.9" customHeight="1" x14ac:dyDescent="0.2">
      <c r="A6" s="1">
        <v>3</v>
      </c>
      <c r="B6" s="1">
        <v>30</v>
      </c>
      <c r="C6" s="5">
        <v>11746</v>
      </c>
      <c r="D6" s="23" t="s">
        <v>252</v>
      </c>
      <c r="E6" s="2" t="s">
        <v>1532</v>
      </c>
      <c r="F6" s="23" t="s">
        <v>281</v>
      </c>
      <c r="G6" s="23">
        <v>4</v>
      </c>
      <c r="H6" s="23">
        <v>0</v>
      </c>
      <c r="I6" s="23"/>
      <c r="J6" s="149">
        <v>3169</v>
      </c>
      <c r="K6" s="113" t="s">
        <v>1533</v>
      </c>
    </row>
    <row r="7" spans="1:11" ht="10.9" customHeight="1" x14ac:dyDescent="0.2">
      <c r="A7" s="1">
        <v>3</v>
      </c>
      <c r="B7" s="1">
        <v>36</v>
      </c>
      <c r="C7" s="5">
        <v>11776</v>
      </c>
      <c r="D7" s="23" t="s">
        <v>261</v>
      </c>
      <c r="E7" s="2" t="s">
        <v>1534</v>
      </c>
      <c r="F7" s="23" t="s">
        <v>281</v>
      </c>
      <c r="G7" s="23">
        <v>5</v>
      </c>
      <c r="H7" s="23">
        <v>3</v>
      </c>
      <c r="I7" s="23"/>
      <c r="J7" s="149">
        <v>1387</v>
      </c>
      <c r="K7" s="113" t="s">
        <v>1535</v>
      </c>
    </row>
    <row r="8" spans="1:11" ht="10.9" customHeight="1" x14ac:dyDescent="0.2">
      <c r="A8" s="1">
        <v>3</v>
      </c>
      <c r="B8" s="1">
        <v>39</v>
      </c>
      <c r="C8" s="5">
        <v>11802</v>
      </c>
      <c r="D8" s="23" t="s">
        <v>252</v>
      </c>
      <c r="E8" s="2" t="s">
        <v>349</v>
      </c>
      <c r="F8" s="23" t="s">
        <v>281</v>
      </c>
      <c r="G8" s="23">
        <v>7</v>
      </c>
      <c r="H8" s="23">
        <v>2</v>
      </c>
      <c r="I8" s="23"/>
      <c r="J8" s="149">
        <v>2154</v>
      </c>
      <c r="K8" s="113" t="s">
        <v>1536</v>
      </c>
    </row>
    <row r="9" spans="1:11" ht="10.9" customHeight="1" x14ac:dyDescent="0.2">
      <c r="A9" s="1">
        <v>4</v>
      </c>
      <c r="B9" s="1">
        <v>6</v>
      </c>
      <c r="C9" s="5">
        <v>11949</v>
      </c>
      <c r="D9" s="23" t="s">
        <v>252</v>
      </c>
      <c r="E9" s="2" t="s">
        <v>362</v>
      </c>
      <c r="F9" s="23" t="s">
        <v>281</v>
      </c>
      <c r="G9" s="23">
        <v>4</v>
      </c>
      <c r="H9" s="23">
        <v>3</v>
      </c>
      <c r="I9" s="23"/>
      <c r="J9" s="149">
        <v>4313</v>
      </c>
      <c r="K9" s="113" t="s">
        <v>1537</v>
      </c>
    </row>
    <row r="10" spans="1:11" ht="10.9" customHeight="1" x14ac:dyDescent="0.2">
      <c r="A10" s="1">
        <v>4</v>
      </c>
      <c r="B10" s="1">
        <v>33</v>
      </c>
      <c r="C10" s="5">
        <v>12149</v>
      </c>
      <c r="D10" s="23" t="s">
        <v>252</v>
      </c>
      <c r="E10" s="2" t="s">
        <v>1538</v>
      </c>
      <c r="F10" s="23" t="s">
        <v>281</v>
      </c>
      <c r="G10" s="23">
        <v>3</v>
      </c>
      <c r="H10" s="23">
        <v>1</v>
      </c>
      <c r="I10" s="23"/>
      <c r="J10" s="149">
        <v>2332</v>
      </c>
      <c r="K10" s="113" t="s">
        <v>1358</v>
      </c>
    </row>
    <row r="11" spans="1:11" ht="10.9" customHeight="1" x14ac:dyDescent="0.2">
      <c r="A11" s="1">
        <v>5</v>
      </c>
      <c r="B11" s="1">
        <v>27</v>
      </c>
      <c r="C11" s="5">
        <v>12453</v>
      </c>
      <c r="D11" s="23" t="s">
        <v>252</v>
      </c>
      <c r="E11" s="2" t="s">
        <v>1538</v>
      </c>
      <c r="F11" s="23" t="s">
        <v>281</v>
      </c>
      <c r="G11" s="23">
        <v>6</v>
      </c>
      <c r="H11" s="23">
        <v>1</v>
      </c>
      <c r="I11" s="23"/>
      <c r="J11" s="149">
        <v>2857</v>
      </c>
      <c r="K11" s="113" t="s">
        <v>1539</v>
      </c>
    </row>
    <row r="12" spans="1:11" ht="10.9" customHeight="1" x14ac:dyDescent="0.2">
      <c r="A12" s="1">
        <v>5</v>
      </c>
      <c r="B12" s="1">
        <v>35</v>
      </c>
      <c r="C12" s="5">
        <v>12502</v>
      </c>
      <c r="D12" s="23" t="s">
        <v>252</v>
      </c>
      <c r="E12" s="2" t="s">
        <v>1540</v>
      </c>
      <c r="F12" s="23" t="s">
        <v>281</v>
      </c>
      <c r="G12" s="23">
        <v>6</v>
      </c>
      <c r="H12" s="23">
        <v>1</v>
      </c>
      <c r="I12" s="23"/>
      <c r="J12" s="149">
        <v>3382</v>
      </c>
      <c r="K12" s="113" t="s">
        <v>1541</v>
      </c>
    </row>
    <row r="13" spans="1:11" ht="10.9" customHeight="1" x14ac:dyDescent="0.2">
      <c r="A13" s="1">
        <v>6</v>
      </c>
      <c r="B13" s="1">
        <v>14</v>
      </c>
      <c r="C13" s="5">
        <v>12733</v>
      </c>
      <c r="D13" s="23" t="s">
        <v>252</v>
      </c>
      <c r="E13" s="2" t="s">
        <v>1542</v>
      </c>
      <c r="F13" s="23" t="s">
        <v>281</v>
      </c>
      <c r="G13" s="23">
        <v>5</v>
      </c>
      <c r="H13" s="23">
        <v>0</v>
      </c>
      <c r="I13" s="23"/>
      <c r="J13" s="149">
        <v>3992</v>
      </c>
      <c r="K13" s="113" t="s">
        <v>1543</v>
      </c>
    </row>
    <row r="14" spans="1:11" ht="10.9" customHeight="1" x14ac:dyDescent="0.2">
      <c r="A14" s="1">
        <v>6</v>
      </c>
      <c r="B14" s="1">
        <v>34</v>
      </c>
      <c r="C14" s="5">
        <v>12873</v>
      </c>
      <c r="D14" s="23" t="s">
        <v>252</v>
      </c>
      <c r="E14" s="2" t="s">
        <v>1544</v>
      </c>
      <c r="F14" s="23" t="s">
        <v>281</v>
      </c>
      <c r="G14" s="23">
        <v>4</v>
      </c>
      <c r="H14" s="23">
        <v>1</v>
      </c>
      <c r="I14" s="23"/>
      <c r="J14" s="149">
        <v>2485</v>
      </c>
      <c r="K14" s="113" t="s">
        <v>1545</v>
      </c>
    </row>
    <row r="15" spans="1:11" ht="10.9" customHeight="1" x14ac:dyDescent="0.2">
      <c r="A15" s="1">
        <v>6</v>
      </c>
      <c r="B15" s="1">
        <v>41</v>
      </c>
      <c r="C15" s="5">
        <v>12901</v>
      </c>
      <c r="D15" s="23" t="s">
        <v>252</v>
      </c>
      <c r="E15" s="2" t="s">
        <v>1546</v>
      </c>
      <c r="F15" s="23" t="s">
        <v>281</v>
      </c>
      <c r="G15" s="23">
        <v>7</v>
      </c>
      <c r="H15" s="23">
        <v>0</v>
      </c>
      <c r="I15" s="23"/>
      <c r="J15" s="149">
        <v>2864</v>
      </c>
      <c r="K15" s="113" t="s">
        <v>1547</v>
      </c>
    </row>
    <row r="16" spans="1:11" ht="10.9" customHeight="1" x14ac:dyDescent="0.2">
      <c r="A16" s="1">
        <v>8</v>
      </c>
      <c r="B16" s="1">
        <v>31</v>
      </c>
      <c r="C16" s="5">
        <v>13587</v>
      </c>
      <c r="D16" s="23" t="s">
        <v>252</v>
      </c>
      <c r="E16" s="2" t="s">
        <v>981</v>
      </c>
      <c r="F16" s="23" t="s">
        <v>281</v>
      </c>
      <c r="G16" s="23">
        <v>3</v>
      </c>
      <c r="H16" s="23">
        <v>0</v>
      </c>
      <c r="I16" s="23"/>
      <c r="J16" s="149">
        <v>3805</v>
      </c>
      <c r="K16" s="113" t="s">
        <v>1548</v>
      </c>
    </row>
    <row r="17" spans="1:11" ht="10.9" customHeight="1" x14ac:dyDescent="0.2">
      <c r="A17" s="1">
        <v>8</v>
      </c>
      <c r="B17" s="1">
        <v>42</v>
      </c>
      <c r="C17" s="5">
        <v>13636</v>
      </c>
      <c r="D17" s="23" t="s">
        <v>252</v>
      </c>
      <c r="E17" s="2" t="s">
        <v>1546</v>
      </c>
      <c r="F17" s="23" t="s">
        <v>281</v>
      </c>
      <c r="G17" s="23">
        <v>5</v>
      </c>
      <c r="H17" s="23">
        <v>2</v>
      </c>
      <c r="I17" s="23"/>
      <c r="J17" s="149">
        <v>3147</v>
      </c>
      <c r="K17" s="113" t="s">
        <v>1549</v>
      </c>
    </row>
    <row r="18" spans="1:11" ht="10.9" customHeight="1" x14ac:dyDescent="0.2">
      <c r="A18" s="1">
        <v>9</v>
      </c>
      <c r="B18" s="1">
        <v>4</v>
      </c>
      <c r="C18" s="5">
        <v>13769</v>
      </c>
      <c r="D18" s="23" t="s">
        <v>261</v>
      </c>
      <c r="E18" s="2" t="s">
        <v>1066</v>
      </c>
      <c r="F18" s="23" t="s">
        <v>268</v>
      </c>
      <c r="G18" s="23">
        <v>3</v>
      </c>
      <c r="H18" s="23">
        <v>4</v>
      </c>
      <c r="I18" s="23"/>
      <c r="J18" s="149">
        <v>7284</v>
      </c>
      <c r="K18" s="113" t="s">
        <v>1358</v>
      </c>
    </row>
    <row r="19" spans="1:11" ht="10.9" customHeight="1" x14ac:dyDescent="0.2">
      <c r="A19" s="1">
        <v>12</v>
      </c>
      <c r="B19" s="1">
        <v>3</v>
      </c>
      <c r="C19" s="5">
        <v>17409</v>
      </c>
      <c r="D19" s="23" t="s">
        <v>252</v>
      </c>
      <c r="E19" s="2" t="s">
        <v>349</v>
      </c>
      <c r="F19" s="23" t="s">
        <v>281</v>
      </c>
      <c r="G19" s="23">
        <v>6</v>
      </c>
      <c r="H19" s="23">
        <v>0</v>
      </c>
      <c r="I19" s="23"/>
      <c r="J19" s="149">
        <v>9515</v>
      </c>
      <c r="K19" s="113" t="s">
        <v>1550</v>
      </c>
    </row>
    <row r="20" spans="1:11" ht="10.9" customHeight="1" x14ac:dyDescent="0.2">
      <c r="A20" s="1">
        <v>12</v>
      </c>
      <c r="B20" s="1">
        <v>21</v>
      </c>
      <c r="C20" s="5">
        <v>17528</v>
      </c>
      <c r="D20" s="23" t="s">
        <v>261</v>
      </c>
      <c r="E20" s="2" t="s">
        <v>1066</v>
      </c>
      <c r="F20" s="23" t="s">
        <v>281</v>
      </c>
      <c r="G20" s="23">
        <v>3</v>
      </c>
      <c r="H20" s="23">
        <v>2</v>
      </c>
      <c r="I20" s="23"/>
      <c r="J20" s="149">
        <v>8754</v>
      </c>
      <c r="K20" s="113" t="s">
        <v>1551</v>
      </c>
    </row>
    <row r="21" spans="1:11" ht="10.9" customHeight="1" x14ac:dyDescent="0.2">
      <c r="A21" s="1">
        <v>13</v>
      </c>
      <c r="B21" s="1">
        <v>18</v>
      </c>
      <c r="C21" s="5">
        <v>17857</v>
      </c>
      <c r="D21" s="23" t="s">
        <v>252</v>
      </c>
      <c r="E21" s="2" t="s">
        <v>1542</v>
      </c>
      <c r="F21" s="23" t="s">
        <v>281</v>
      </c>
      <c r="G21" s="23">
        <v>6</v>
      </c>
      <c r="H21" s="23">
        <v>1</v>
      </c>
      <c r="I21" s="23"/>
      <c r="J21" s="149">
        <v>19216</v>
      </c>
      <c r="K21" s="113" t="s">
        <v>1552</v>
      </c>
    </row>
    <row r="22" spans="1:11" ht="10.9" customHeight="1" x14ac:dyDescent="0.2">
      <c r="A22" s="1">
        <v>13</v>
      </c>
      <c r="B22" s="1">
        <v>23</v>
      </c>
      <c r="C22" s="5">
        <v>17913</v>
      </c>
      <c r="D22" s="23" t="s">
        <v>252</v>
      </c>
      <c r="E22" s="2" t="s">
        <v>1160</v>
      </c>
      <c r="F22" s="23" t="s">
        <v>281</v>
      </c>
      <c r="G22" s="23">
        <v>4</v>
      </c>
      <c r="H22" s="23">
        <v>0</v>
      </c>
      <c r="I22" s="23"/>
      <c r="J22" s="149">
        <v>5487</v>
      </c>
      <c r="K22" s="113" t="s">
        <v>1553</v>
      </c>
    </row>
    <row r="23" spans="1:11" ht="10.9" customHeight="1" x14ac:dyDescent="0.2">
      <c r="A23" s="1">
        <v>14</v>
      </c>
      <c r="B23" s="1">
        <v>28</v>
      </c>
      <c r="C23" s="5">
        <v>18298</v>
      </c>
      <c r="D23" s="23" t="s">
        <v>252</v>
      </c>
      <c r="E23" s="2" t="s">
        <v>364</v>
      </c>
      <c r="F23" s="23" t="s">
        <v>281</v>
      </c>
      <c r="G23" s="23">
        <v>5</v>
      </c>
      <c r="H23" s="23">
        <v>0</v>
      </c>
      <c r="I23" s="23"/>
      <c r="J23" s="149">
        <v>3976</v>
      </c>
      <c r="K23" s="113" t="s">
        <v>1554</v>
      </c>
    </row>
    <row r="24" spans="1:11" ht="10.9" customHeight="1" x14ac:dyDescent="0.2">
      <c r="A24" s="1">
        <v>16</v>
      </c>
      <c r="B24" s="1">
        <v>15</v>
      </c>
      <c r="C24" s="5">
        <v>18928</v>
      </c>
      <c r="D24" s="23" t="s">
        <v>252</v>
      </c>
      <c r="E24" s="2" t="s">
        <v>1555</v>
      </c>
      <c r="F24" s="23" t="s">
        <v>281</v>
      </c>
      <c r="G24" s="23">
        <v>6</v>
      </c>
      <c r="H24" s="23">
        <v>1</v>
      </c>
      <c r="I24" s="23"/>
      <c r="J24" s="149">
        <v>7538</v>
      </c>
      <c r="K24" s="113" t="s">
        <v>1556</v>
      </c>
    </row>
    <row r="25" spans="1:11" ht="10.9" customHeight="1" x14ac:dyDescent="0.2">
      <c r="A25" s="1">
        <v>16</v>
      </c>
      <c r="B25" s="1">
        <v>28</v>
      </c>
      <c r="C25" s="5">
        <v>19019</v>
      </c>
      <c r="D25" s="23" t="s">
        <v>252</v>
      </c>
      <c r="E25" s="2" t="s">
        <v>1557</v>
      </c>
      <c r="F25" s="23" t="s">
        <v>281</v>
      </c>
      <c r="G25" s="23">
        <v>5</v>
      </c>
      <c r="H25" s="23">
        <v>0</v>
      </c>
      <c r="I25" s="23"/>
      <c r="J25" s="149">
        <v>9027</v>
      </c>
      <c r="K25" s="113" t="s">
        <v>1558</v>
      </c>
    </row>
    <row r="26" spans="1:11" ht="10.9" customHeight="1" x14ac:dyDescent="0.2">
      <c r="A26" s="1">
        <v>16</v>
      </c>
      <c r="B26" s="1">
        <v>30</v>
      </c>
      <c r="C26" s="5">
        <v>19040</v>
      </c>
      <c r="D26" s="23" t="s">
        <v>252</v>
      </c>
      <c r="E26" s="2" t="s">
        <v>349</v>
      </c>
      <c r="F26" s="23" t="s">
        <v>281</v>
      </c>
      <c r="G26" s="23">
        <v>6</v>
      </c>
      <c r="H26" s="23">
        <v>2</v>
      </c>
      <c r="I26" s="23"/>
      <c r="J26" s="149">
        <v>7902</v>
      </c>
      <c r="K26" s="113" t="s">
        <v>1559</v>
      </c>
    </row>
    <row r="27" spans="1:11" ht="10.9" customHeight="1" x14ac:dyDescent="0.2">
      <c r="A27" s="1">
        <v>18</v>
      </c>
      <c r="B27" s="1">
        <v>15</v>
      </c>
      <c r="C27" s="5">
        <v>19649</v>
      </c>
      <c r="D27" s="23" t="s">
        <v>252</v>
      </c>
      <c r="E27" s="2" t="s">
        <v>362</v>
      </c>
      <c r="F27" s="23" t="s">
        <v>281</v>
      </c>
      <c r="G27" s="23">
        <v>5</v>
      </c>
      <c r="H27" s="23">
        <v>1</v>
      </c>
      <c r="I27" s="23"/>
      <c r="J27" s="149">
        <v>6294</v>
      </c>
      <c r="K27" s="113" t="s">
        <v>1560</v>
      </c>
    </row>
    <row r="28" spans="1:11" ht="10.9" customHeight="1" x14ac:dyDescent="0.2">
      <c r="A28" s="1">
        <v>19</v>
      </c>
      <c r="B28" s="1">
        <v>1</v>
      </c>
      <c r="C28" s="5">
        <v>19957</v>
      </c>
      <c r="D28" s="23" t="s">
        <v>261</v>
      </c>
      <c r="E28" s="2" t="s">
        <v>1366</v>
      </c>
      <c r="F28" s="23" t="s">
        <v>281</v>
      </c>
      <c r="G28" s="23">
        <v>6</v>
      </c>
      <c r="H28" s="23">
        <v>2</v>
      </c>
      <c r="I28" s="23"/>
      <c r="J28" s="149">
        <v>11695</v>
      </c>
      <c r="K28" s="113" t="s">
        <v>1372</v>
      </c>
    </row>
    <row r="29" spans="1:11" ht="10.9" customHeight="1" x14ac:dyDescent="0.2">
      <c r="A29" s="1">
        <v>19</v>
      </c>
      <c r="B29" s="1">
        <v>18</v>
      </c>
      <c r="C29" s="5">
        <v>20034</v>
      </c>
      <c r="D29" s="23" t="s">
        <v>261</v>
      </c>
      <c r="E29" s="2" t="s">
        <v>1362</v>
      </c>
      <c r="F29" s="23" t="s">
        <v>281</v>
      </c>
      <c r="G29" s="23">
        <v>5</v>
      </c>
      <c r="H29" s="23">
        <v>4</v>
      </c>
      <c r="I29" s="23"/>
      <c r="J29" s="149">
        <v>5616</v>
      </c>
      <c r="K29" s="113" t="s">
        <v>1374</v>
      </c>
    </row>
    <row r="30" spans="1:11" ht="10.9" customHeight="1" x14ac:dyDescent="0.2">
      <c r="A30" s="1">
        <v>20</v>
      </c>
      <c r="B30" s="1">
        <v>22</v>
      </c>
      <c r="C30" s="5">
        <v>20440</v>
      </c>
      <c r="D30" s="23" t="s">
        <v>261</v>
      </c>
      <c r="E30" s="2" t="s">
        <v>1366</v>
      </c>
      <c r="F30" s="23" t="s">
        <v>281</v>
      </c>
      <c r="G30" s="23">
        <v>5</v>
      </c>
      <c r="H30" s="23">
        <v>4</v>
      </c>
      <c r="I30" s="23"/>
      <c r="J30" s="149">
        <v>5685</v>
      </c>
      <c r="K30" s="113" t="s">
        <v>1376</v>
      </c>
    </row>
    <row r="31" spans="1:11" ht="10.9" customHeight="1" x14ac:dyDescent="0.2">
      <c r="A31" s="1">
        <v>21</v>
      </c>
      <c r="B31" s="1">
        <v>31</v>
      </c>
      <c r="C31" s="5">
        <v>20853</v>
      </c>
      <c r="D31" s="23" t="s">
        <v>252</v>
      </c>
      <c r="E31" s="2" t="s">
        <v>1277</v>
      </c>
      <c r="F31" s="23" t="s">
        <v>281</v>
      </c>
      <c r="G31" s="23">
        <v>9</v>
      </c>
      <c r="H31" s="23">
        <v>1</v>
      </c>
      <c r="I31" s="23"/>
      <c r="J31" s="149">
        <v>8801</v>
      </c>
      <c r="K31" s="113" t="s">
        <v>1561</v>
      </c>
    </row>
    <row r="32" spans="1:11" ht="10.9" customHeight="1" x14ac:dyDescent="0.2">
      <c r="A32" s="1">
        <v>21</v>
      </c>
      <c r="B32" s="1">
        <v>43</v>
      </c>
      <c r="C32" s="5">
        <v>20930</v>
      </c>
      <c r="D32" s="23" t="s">
        <v>252</v>
      </c>
      <c r="E32" s="2" t="s">
        <v>1540</v>
      </c>
      <c r="F32" s="23" t="s">
        <v>281</v>
      </c>
      <c r="G32" s="23">
        <v>4</v>
      </c>
      <c r="H32" s="23">
        <v>0</v>
      </c>
      <c r="I32" s="23"/>
      <c r="J32" s="149">
        <v>7203</v>
      </c>
      <c r="K32" s="113" t="s">
        <v>1562</v>
      </c>
    </row>
    <row r="33" spans="1:11" ht="10.9" customHeight="1" x14ac:dyDescent="0.2">
      <c r="A33" s="1">
        <v>22</v>
      </c>
      <c r="B33" s="1">
        <v>43</v>
      </c>
      <c r="C33" s="5">
        <v>21298</v>
      </c>
      <c r="D33" s="23" t="s">
        <v>252</v>
      </c>
      <c r="E33" s="2" t="s">
        <v>1563</v>
      </c>
      <c r="F33" s="23" t="s">
        <v>281</v>
      </c>
      <c r="G33" s="23">
        <v>4</v>
      </c>
      <c r="H33" s="23">
        <v>0</v>
      </c>
      <c r="I33" s="23"/>
      <c r="J33" s="149">
        <v>7205</v>
      </c>
      <c r="K33" s="113" t="s">
        <v>1564</v>
      </c>
    </row>
    <row r="34" spans="1:11" ht="10.9" customHeight="1" x14ac:dyDescent="0.2">
      <c r="A34" s="1">
        <v>23</v>
      </c>
      <c r="B34" s="1">
        <v>13</v>
      </c>
      <c r="C34" s="5">
        <v>21462</v>
      </c>
      <c r="D34" s="23" t="s">
        <v>261</v>
      </c>
      <c r="E34" s="2" t="s">
        <v>1364</v>
      </c>
      <c r="F34" s="23" t="s">
        <v>281</v>
      </c>
      <c r="G34" s="23">
        <v>5</v>
      </c>
      <c r="H34" s="23">
        <v>1</v>
      </c>
      <c r="I34" s="23"/>
      <c r="J34" s="149">
        <v>9799</v>
      </c>
      <c r="K34" s="113" t="s">
        <v>1378</v>
      </c>
    </row>
    <row r="35" spans="1:11" ht="10.9" customHeight="1" x14ac:dyDescent="0.2">
      <c r="A35" s="1">
        <v>24</v>
      </c>
      <c r="B35" s="1">
        <v>13</v>
      </c>
      <c r="C35" s="5">
        <v>21826</v>
      </c>
      <c r="D35" s="23" t="s">
        <v>252</v>
      </c>
      <c r="E35" s="2" t="s">
        <v>1555</v>
      </c>
      <c r="F35" s="23" t="s">
        <v>281</v>
      </c>
      <c r="G35" s="23">
        <v>3</v>
      </c>
      <c r="H35" s="23">
        <v>0</v>
      </c>
      <c r="I35" s="23"/>
      <c r="J35" s="149">
        <v>7997</v>
      </c>
      <c r="K35" s="113" t="s">
        <v>1565</v>
      </c>
    </row>
    <row r="36" spans="1:11" ht="10.9" customHeight="1" x14ac:dyDescent="0.2">
      <c r="A36" s="1">
        <v>25</v>
      </c>
      <c r="B36" s="1">
        <v>10</v>
      </c>
      <c r="C36" s="5">
        <v>22183</v>
      </c>
      <c r="D36" s="23" t="s">
        <v>252</v>
      </c>
      <c r="E36" s="2" t="s">
        <v>1566</v>
      </c>
      <c r="F36" s="23" t="s">
        <v>281</v>
      </c>
      <c r="G36" s="23">
        <v>4</v>
      </c>
      <c r="H36" s="23">
        <v>0</v>
      </c>
      <c r="I36" s="23"/>
      <c r="J36" s="149">
        <v>6104</v>
      </c>
      <c r="K36" s="113" t="s">
        <v>1567</v>
      </c>
    </row>
    <row r="37" spans="1:11" ht="10.9" customHeight="1" x14ac:dyDescent="0.2">
      <c r="A37" s="1">
        <v>25</v>
      </c>
      <c r="B37" s="1">
        <v>13</v>
      </c>
      <c r="C37" s="5">
        <v>22192</v>
      </c>
      <c r="D37" s="23" t="s">
        <v>252</v>
      </c>
      <c r="E37" s="2" t="s">
        <v>1568</v>
      </c>
      <c r="F37" s="23" t="s">
        <v>281</v>
      </c>
      <c r="G37" s="23">
        <v>4</v>
      </c>
      <c r="H37" s="23">
        <v>1</v>
      </c>
      <c r="I37" s="23"/>
      <c r="J37" s="149">
        <v>7508</v>
      </c>
      <c r="K37" s="113" t="s">
        <v>1569</v>
      </c>
    </row>
    <row r="38" spans="1:11" ht="10.9" customHeight="1" x14ac:dyDescent="0.2">
      <c r="A38" s="1">
        <v>25</v>
      </c>
      <c r="B38" s="1">
        <v>28</v>
      </c>
      <c r="C38" s="5">
        <v>22302</v>
      </c>
      <c r="D38" s="23" t="s">
        <v>261</v>
      </c>
      <c r="E38" s="2" t="s">
        <v>1368</v>
      </c>
      <c r="F38" s="23" t="s">
        <v>281</v>
      </c>
      <c r="G38" s="23">
        <v>5</v>
      </c>
      <c r="H38" s="23">
        <v>1</v>
      </c>
      <c r="I38" s="23"/>
      <c r="J38" s="149">
        <v>8272</v>
      </c>
      <c r="K38" s="113" t="s">
        <v>1570</v>
      </c>
    </row>
    <row r="39" spans="1:11" ht="10.9" customHeight="1" x14ac:dyDescent="0.2">
      <c r="A39" s="1">
        <v>26</v>
      </c>
      <c r="B39" s="1">
        <v>13</v>
      </c>
      <c r="C39" s="5">
        <v>22556</v>
      </c>
      <c r="D39" s="23" t="s">
        <v>252</v>
      </c>
      <c r="E39" s="2" t="s">
        <v>1265</v>
      </c>
      <c r="F39" s="23" t="s">
        <v>281</v>
      </c>
      <c r="G39" s="23">
        <v>4</v>
      </c>
      <c r="H39" s="23">
        <v>2</v>
      </c>
      <c r="I39" s="23"/>
      <c r="J39" s="149">
        <v>6947</v>
      </c>
      <c r="K39" s="113" t="s">
        <v>1571</v>
      </c>
    </row>
    <row r="40" spans="1:11" ht="10.9" customHeight="1" x14ac:dyDescent="0.2">
      <c r="A40" s="1">
        <v>26</v>
      </c>
      <c r="B40" s="1">
        <v>25</v>
      </c>
      <c r="C40" s="5">
        <v>22659</v>
      </c>
      <c r="D40" s="23" t="s">
        <v>252</v>
      </c>
      <c r="E40" s="2" t="s">
        <v>1572</v>
      </c>
      <c r="F40" s="23" t="s">
        <v>281</v>
      </c>
      <c r="G40" s="23">
        <v>4</v>
      </c>
      <c r="H40" s="23">
        <v>0</v>
      </c>
      <c r="I40" s="23"/>
      <c r="J40" s="149">
        <v>5456</v>
      </c>
      <c r="K40" s="113" t="s">
        <v>1573</v>
      </c>
    </row>
    <row r="41" spans="1:11" ht="10.9" customHeight="1" x14ac:dyDescent="0.2">
      <c r="A41" s="1">
        <v>26</v>
      </c>
      <c r="B41" s="1">
        <v>38</v>
      </c>
      <c r="C41" s="5">
        <v>22738</v>
      </c>
      <c r="D41" s="23" t="s">
        <v>252</v>
      </c>
      <c r="E41" s="2" t="s">
        <v>1574</v>
      </c>
      <c r="F41" s="23" t="s">
        <v>281</v>
      </c>
      <c r="G41" s="23">
        <v>5</v>
      </c>
      <c r="H41" s="23">
        <v>2</v>
      </c>
      <c r="I41" s="23"/>
      <c r="J41" s="149">
        <v>6264</v>
      </c>
      <c r="K41" s="113" t="s">
        <v>1575</v>
      </c>
    </row>
    <row r="42" spans="1:11" ht="10.9" customHeight="1" x14ac:dyDescent="0.2">
      <c r="A42" s="1">
        <v>26</v>
      </c>
      <c r="B42" s="1">
        <v>41</v>
      </c>
      <c r="C42" s="5">
        <v>22756</v>
      </c>
      <c r="D42" s="23" t="s">
        <v>252</v>
      </c>
      <c r="E42" s="2" t="s">
        <v>1566</v>
      </c>
      <c r="F42" s="23" t="s">
        <v>281</v>
      </c>
      <c r="G42" s="23">
        <v>4</v>
      </c>
      <c r="H42" s="23">
        <v>0</v>
      </c>
      <c r="I42" s="23"/>
      <c r="J42" s="149">
        <v>9767</v>
      </c>
      <c r="K42" s="113" t="s">
        <v>1576</v>
      </c>
    </row>
    <row r="43" spans="1:11" ht="10.9" customHeight="1" x14ac:dyDescent="0.2">
      <c r="A43" s="1">
        <v>27</v>
      </c>
      <c r="B43" s="1">
        <v>39</v>
      </c>
      <c r="C43" s="5">
        <v>23123</v>
      </c>
      <c r="D43" s="23" t="s">
        <v>252</v>
      </c>
      <c r="E43" s="2" t="s">
        <v>1268</v>
      </c>
      <c r="F43" s="23" t="s">
        <v>281</v>
      </c>
      <c r="G43" s="23">
        <v>3</v>
      </c>
      <c r="H43" s="23">
        <v>1</v>
      </c>
      <c r="I43" s="23"/>
      <c r="J43" s="149">
        <v>5082</v>
      </c>
      <c r="K43" s="113" t="s">
        <v>1577</v>
      </c>
    </row>
    <row r="44" spans="1:11" ht="10.9" customHeight="1" x14ac:dyDescent="0.2">
      <c r="A44" s="1">
        <v>29</v>
      </c>
      <c r="B44" s="1">
        <v>40</v>
      </c>
      <c r="C44" s="5">
        <v>23827</v>
      </c>
      <c r="D44" s="23" t="s">
        <v>252</v>
      </c>
      <c r="E44" s="2" t="s">
        <v>1563</v>
      </c>
      <c r="F44" s="23" t="s">
        <v>281</v>
      </c>
      <c r="G44" s="23">
        <v>4</v>
      </c>
      <c r="H44" s="23">
        <v>0</v>
      </c>
      <c r="I44" s="23"/>
      <c r="J44" s="149">
        <v>13444</v>
      </c>
      <c r="K44" s="113" t="s">
        <v>1578</v>
      </c>
    </row>
    <row r="45" spans="1:11" ht="10.9" customHeight="1" x14ac:dyDescent="0.2">
      <c r="A45" s="1">
        <v>30</v>
      </c>
      <c r="B45" s="1">
        <v>7</v>
      </c>
      <c r="C45" s="5">
        <v>24003</v>
      </c>
      <c r="D45" s="23" t="s">
        <v>261</v>
      </c>
      <c r="E45" s="2" t="s">
        <v>495</v>
      </c>
      <c r="F45" s="23" t="s">
        <v>281</v>
      </c>
      <c r="G45" s="23">
        <v>4</v>
      </c>
      <c r="H45" s="23">
        <v>1</v>
      </c>
      <c r="I45" s="23"/>
      <c r="J45" s="149">
        <v>20554</v>
      </c>
      <c r="K45" s="113" t="s">
        <v>1380</v>
      </c>
    </row>
    <row r="46" spans="1:11" ht="10.9" customHeight="1" x14ac:dyDescent="0.2">
      <c r="A46" s="1">
        <v>32</v>
      </c>
      <c r="B46" s="1">
        <v>37</v>
      </c>
      <c r="C46" s="5">
        <v>24927</v>
      </c>
      <c r="D46" s="23" t="s">
        <v>252</v>
      </c>
      <c r="E46" s="2" t="s">
        <v>1579</v>
      </c>
      <c r="F46" s="23" t="s">
        <v>281</v>
      </c>
      <c r="G46" s="23">
        <v>5</v>
      </c>
      <c r="H46" s="23">
        <v>1</v>
      </c>
      <c r="I46" s="23"/>
      <c r="J46" s="149">
        <v>5153</v>
      </c>
      <c r="K46" s="113" t="s">
        <v>1580</v>
      </c>
    </row>
    <row r="47" spans="1:11" ht="10.9" customHeight="1" x14ac:dyDescent="0.2">
      <c r="A47" s="1">
        <v>34</v>
      </c>
      <c r="B47" s="1">
        <v>37</v>
      </c>
      <c r="C47" s="5">
        <v>25655</v>
      </c>
      <c r="D47" s="23" t="s">
        <v>252</v>
      </c>
      <c r="E47" s="2" t="s">
        <v>1581</v>
      </c>
      <c r="F47" s="23" t="s">
        <v>281</v>
      </c>
      <c r="G47" s="23">
        <v>4</v>
      </c>
      <c r="H47" s="23">
        <v>2</v>
      </c>
      <c r="I47" s="23"/>
      <c r="J47" s="149">
        <v>2496</v>
      </c>
      <c r="K47" s="113" t="s">
        <v>1582</v>
      </c>
    </row>
    <row r="48" spans="1:11" ht="10.9" customHeight="1" x14ac:dyDescent="0.2">
      <c r="A48" s="1">
        <v>36</v>
      </c>
      <c r="B48" s="1">
        <v>39</v>
      </c>
      <c r="C48" s="5">
        <v>26390</v>
      </c>
      <c r="D48" s="23" t="s">
        <v>252</v>
      </c>
      <c r="E48" s="2" t="s">
        <v>341</v>
      </c>
      <c r="F48" s="23" t="s">
        <v>281</v>
      </c>
      <c r="G48" s="23">
        <v>4</v>
      </c>
      <c r="H48" s="23">
        <v>1</v>
      </c>
      <c r="I48" s="23"/>
      <c r="J48" s="149">
        <v>4272</v>
      </c>
      <c r="K48" s="113" t="s">
        <v>1583</v>
      </c>
    </row>
    <row r="49" spans="1:11" ht="10.9" customHeight="1" x14ac:dyDescent="0.2">
      <c r="A49" s="1">
        <v>43</v>
      </c>
      <c r="B49" s="1">
        <v>43</v>
      </c>
      <c r="C49" s="5">
        <v>28982</v>
      </c>
      <c r="D49" s="23" t="s">
        <v>252</v>
      </c>
      <c r="E49" s="2" t="s">
        <v>1579</v>
      </c>
      <c r="F49" s="23" t="s">
        <v>281</v>
      </c>
      <c r="G49" s="23">
        <v>4</v>
      </c>
      <c r="H49" s="23">
        <v>0</v>
      </c>
      <c r="I49" s="23"/>
      <c r="J49" s="149">
        <v>2344</v>
      </c>
      <c r="K49" s="113" t="s">
        <v>1584</v>
      </c>
    </row>
    <row r="50" spans="1:11" ht="10.9" customHeight="1" x14ac:dyDescent="0.2">
      <c r="A50" s="1">
        <v>44</v>
      </c>
      <c r="B50" s="1">
        <v>6</v>
      </c>
      <c r="C50" s="5">
        <v>29113</v>
      </c>
      <c r="D50" s="23" t="s">
        <v>261</v>
      </c>
      <c r="E50" s="2" t="s">
        <v>1585</v>
      </c>
      <c r="F50" s="23" t="s">
        <v>281</v>
      </c>
      <c r="G50" s="23">
        <v>5</v>
      </c>
      <c r="H50" s="23">
        <v>2</v>
      </c>
      <c r="I50" s="23"/>
      <c r="J50" s="149">
        <v>5900</v>
      </c>
      <c r="K50" s="113" t="s">
        <v>1586</v>
      </c>
    </row>
    <row r="51" spans="1:11" ht="10.9" customHeight="1" x14ac:dyDescent="0.2">
      <c r="A51" s="1">
        <v>47</v>
      </c>
      <c r="B51" s="1">
        <v>17</v>
      </c>
      <c r="C51" s="5">
        <v>30282</v>
      </c>
      <c r="D51" s="23" t="s">
        <v>252</v>
      </c>
      <c r="E51" s="2" t="s">
        <v>362</v>
      </c>
      <c r="F51" s="23" t="s">
        <v>281</v>
      </c>
      <c r="G51" s="23">
        <v>6</v>
      </c>
      <c r="H51" s="23">
        <v>1</v>
      </c>
      <c r="I51" s="23"/>
      <c r="J51" s="149">
        <v>2119</v>
      </c>
      <c r="K51" s="113" t="s">
        <v>1587</v>
      </c>
    </row>
    <row r="52" spans="1:11" ht="10.9" customHeight="1" x14ac:dyDescent="0.2">
      <c r="A52" s="1">
        <v>48</v>
      </c>
      <c r="B52" s="1">
        <v>5</v>
      </c>
      <c r="C52" s="5">
        <v>30576</v>
      </c>
      <c r="D52" s="23" t="s">
        <v>252</v>
      </c>
      <c r="E52" s="2" t="s">
        <v>1588</v>
      </c>
      <c r="F52" s="23" t="s">
        <v>281</v>
      </c>
      <c r="G52" s="23">
        <v>4</v>
      </c>
      <c r="H52" s="23">
        <v>1</v>
      </c>
      <c r="I52" s="23"/>
      <c r="J52" s="149">
        <v>3037</v>
      </c>
      <c r="K52" s="113" t="s">
        <v>1589</v>
      </c>
    </row>
    <row r="53" spans="1:11" ht="10.9" customHeight="1" x14ac:dyDescent="0.2">
      <c r="A53" s="1">
        <v>48</v>
      </c>
      <c r="B53" s="1">
        <v>41</v>
      </c>
      <c r="C53" s="5">
        <v>30792</v>
      </c>
      <c r="D53" s="23" t="s">
        <v>252</v>
      </c>
      <c r="E53" s="2" t="s">
        <v>349</v>
      </c>
      <c r="F53" s="23" t="s">
        <v>281</v>
      </c>
      <c r="G53" s="23">
        <v>4</v>
      </c>
      <c r="H53" s="23">
        <v>1</v>
      </c>
      <c r="I53" s="23"/>
      <c r="J53" s="149">
        <v>7120</v>
      </c>
      <c r="K53" s="113" t="s">
        <v>1590</v>
      </c>
    </row>
    <row r="54" spans="1:11" ht="10.9" customHeight="1" x14ac:dyDescent="0.2">
      <c r="A54" s="1">
        <v>49</v>
      </c>
      <c r="B54" s="1">
        <v>14</v>
      </c>
      <c r="C54" s="5">
        <v>30989</v>
      </c>
      <c r="D54" s="23" t="s">
        <v>252</v>
      </c>
      <c r="E54" s="2" t="s">
        <v>1572</v>
      </c>
      <c r="F54" s="23" t="s">
        <v>281</v>
      </c>
      <c r="G54" s="23">
        <v>7</v>
      </c>
      <c r="H54" s="23">
        <v>1</v>
      </c>
      <c r="I54" s="23"/>
      <c r="J54" s="149">
        <v>2921</v>
      </c>
      <c r="K54" s="113" t="s">
        <v>1591</v>
      </c>
    </row>
    <row r="55" spans="1:11" ht="10.9" customHeight="1" x14ac:dyDescent="0.2">
      <c r="A55" s="1">
        <v>50</v>
      </c>
      <c r="B55" s="1">
        <v>11</v>
      </c>
      <c r="C55" s="5">
        <v>31325</v>
      </c>
      <c r="D55" s="23" t="s">
        <v>252</v>
      </c>
      <c r="E55" s="2" t="s">
        <v>981</v>
      </c>
      <c r="F55" s="23" t="s">
        <v>281</v>
      </c>
      <c r="G55" s="23">
        <v>7</v>
      </c>
      <c r="H55" s="23">
        <v>0</v>
      </c>
      <c r="I55" s="23"/>
      <c r="J55" s="149">
        <v>5039</v>
      </c>
      <c r="K55" s="113" t="s">
        <v>1592</v>
      </c>
    </row>
    <row r="56" spans="1:11" ht="10.9" customHeight="1" x14ac:dyDescent="0.2">
      <c r="A56" s="1">
        <v>55</v>
      </c>
      <c r="B56" s="1">
        <v>19</v>
      </c>
      <c r="C56" s="5">
        <v>33236</v>
      </c>
      <c r="D56" s="102" t="s">
        <v>261</v>
      </c>
      <c r="E56" s="3" t="s">
        <v>1366</v>
      </c>
      <c r="F56" s="102" t="s">
        <v>281</v>
      </c>
      <c r="G56" s="102">
        <v>4</v>
      </c>
      <c r="H56" s="102">
        <v>0</v>
      </c>
      <c r="I56" s="102" t="s">
        <v>359</v>
      </c>
      <c r="J56" s="131">
        <v>1698</v>
      </c>
      <c r="K56" s="125" t="s">
        <v>1593</v>
      </c>
    </row>
    <row r="57" spans="1:11" ht="10.9" customHeight="1" x14ac:dyDescent="0.2">
      <c r="A57" s="1">
        <v>57</v>
      </c>
      <c r="B57" s="1">
        <v>30</v>
      </c>
      <c r="C57" s="5">
        <v>34027</v>
      </c>
      <c r="D57" s="102" t="s">
        <v>252</v>
      </c>
      <c r="E57" s="3" t="s">
        <v>1594</v>
      </c>
      <c r="F57" s="102" t="s">
        <v>281</v>
      </c>
      <c r="G57" s="102">
        <v>5</v>
      </c>
      <c r="H57" s="102">
        <v>1</v>
      </c>
      <c r="I57" s="102" t="s">
        <v>1513</v>
      </c>
      <c r="J57" s="131">
        <v>2990</v>
      </c>
      <c r="K57" s="125" t="s">
        <v>1595</v>
      </c>
    </row>
    <row r="58" spans="1:11" ht="10.9" customHeight="1" x14ac:dyDescent="0.2">
      <c r="A58" s="1">
        <v>57</v>
      </c>
      <c r="B58" s="1">
        <v>33</v>
      </c>
      <c r="C58" s="5">
        <v>34041</v>
      </c>
      <c r="D58" s="102" t="s">
        <v>261</v>
      </c>
      <c r="E58" s="3" t="s">
        <v>1596</v>
      </c>
      <c r="F58" s="102" t="s">
        <v>281</v>
      </c>
      <c r="G58" s="102">
        <v>5</v>
      </c>
      <c r="H58" s="102">
        <v>1</v>
      </c>
      <c r="I58" s="102" t="s">
        <v>1395</v>
      </c>
      <c r="J58" s="131">
        <v>4985</v>
      </c>
      <c r="K58" s="125" t="s">
        <v>1597</v>
      </c>
    </row>
    <row r="59" spans="1:11" ht="10.9" customHeight="1" x14ac:dyDescent="0.2">
      <c r="A59" s="1">
        <v>59</v>
      </c>
      <c r="B59" s="1">
        <v>5</v>
      </c>
      <c r="C59" s="5">
        <v>34580</v>
      </c>
      <c r="D59" s="102" t="s">
        <v>261</v>
      </c>
      <c r="E59" s="3" t="s">
        <v>1381</v>
      </c>
      <c r="F59" s="102" t="s">
        <v>281</v>
      </c>
      <c r="G59" s="102">
        <v>4</v>
      </c>
      <c r="H59" s="102">
        <v>1</v>
      </c>
      <c r="I59" s="102" t="s">
        <v>270</v>
      </c>
      <c r="J59" s="131">
        <v>3181</v>
      </c>
      <c r="K59" s="125" t="s">
        <v>1598</v>
      </c>
    </row>
    <row r="60" spans="1:11" ht="10.9" customHeight="1" x14ac:dyDescent="0.2">
      <c r="A60" s="1">
        <v>59</v>
      </c>
      <c r="B60" s="1">
        <v>21</v>
      </c>
      <c r="C60" s="5">
        <v>34694</v>
      </c>
      <c r="D60" s="102" t="s">
        <v>252</v>
      </c>
      <c r="E60" s="3" t="s">
        <v>1423</v>
      </c>
      <c r="F60" s="102" t="s">
        <v>281</v>
      </c>
      <c r="G60" s="102">
        <v>4</v>
      </c>
      <c r="H60" s="102">
        <v>0</v>
      </c>
      <c r="I60" s="102" t="s">
        <v>1161</v>
      </c>
      <c r="J60" s="131">
        <v>4542</v>
      </c>
      <c r="K60" s="125" t="s">
        <v>1599</v>
      </c>
    </row>
    <row r="61" spans="1:11" ht="10.9" customHeight="1" x14ac:dyDescent="0.2">
      <c r="A61" s="1">
        <v>60</v>
      </c>
      <c r="B61" s="1">
        <v>37</v>
      </c>
      <c r="C61" s="5">
        <v>35154</v>
      </c>
      <c r="D61" s="102" t="s">
        <v>261</v>
      </c>
      <c r="E61" s="3" t="s">
        <v>1366</v>
      </c>
      <c r="F61" s="102" t="s">
        <v>281</v>
      </c>
      <c r="G61" s="102">
        <v>3</v>
      </c>
      <c r="H61" s="102">
        <v>2</v>
      </c>
      <c r="I61" s="102" t="s">
        <v>1395</v>
      </c>
      <c r="J61" s="131">
        <v>2923</v>
      </c>
      <c r="K61" s="125" t="s">
        <v>1600</v>
      </c>
    </row>
    <row r="62" spans="1:11" ht="10.9" customHeight="1" x14ac:dyDescent="0.2">
      <c r="A62" s="110">
        <v>70</v>
      </c>
      <c r="B62" s="110">
        <v>2</v>
      </c>
      <c r="C62" s="120">
        <v>38580</v>
      </c>
      <c r="D62" s="110" t="s">
        <v>261</v>
      </c>
      <c r="E62" s="77" t="s">
        <v>1331</v>
      </c>
      <c r="F62" s="110" t="s">
        <v>281</v>
      </c>
      <c r="G62" s="110">
        <v>4</v>
      </c>
      <c r="H62" s="110">
        <v>1</v>
      </c>
      <c r="I62" s="133" t="s">
        <v>1405</v>
      </c>
      <c r="J62" s="122">
        <v>1646</v>
      </c>
      <c r="K62" s="123" t="s">
        <v>1601</v>
      </c>
    </row>
    <row r="63" spans="1:11" ht="10.9" customHeight="1" x14ac:dyDescent="0.2">
      <c r="A63" s="110">
        <v>70</v>
      </c>
      <c r="B63" s="110">
        <v>31</v>
      </c>
      <c r="C63" s="120">
        <v>38773</v>
      </c>
      <c r="D63" s="110" t="s">
        <v>252</v>
      </c>
      <c r="E63" s="77" t="s">
        <v>1091</v>
      </c>
      <c r="F63" s="110" t="s">
        <v>281</v>
      </c>
      <c r="G63" s="110">
        <v>5</v>
      </c>
      <c r="H63" s="110">
        <v>1</v>
      </c>
      <c r="I63" s="121" t="s">
        <v>1325</v>
      </c>
      <c r="J63" s="122">
        <v>2314</v>
      </c>
      <c r="K63" s="123" t="s">
        <v>1602</v>
      </c>
    </row>
    <row r="64" spans="1:11" ht="10.9" customHeight="1" x14ac:dyDescent="0.2">
      <c r="A64" s="110">
        <v>7</v>
      </c>
      <c r="B64" s="110">
        <v>37</v>
      </c>
      <c r="C64" s="120">
        <v>39154</v>
      </c>
      <c r="D64" s="110" t="s">
        <v>261</v>
      </c>
      <c r="E64" s="77" t="s">
        <v>1603</v>
      </c>
      <c r="F64" s="110" t="s">
        <v>281</v>
      </c>
      <c r="G64" s="110">
        <v>5</v>
      </c>
      <c r="H64" s="110">
        <v>0</v>
      </c>
      <c r="I64" s="121" t="s">
        <v>1161</v>
      </c>
      <c r="J64" s="122">
        <v>2428</v>
      </c>
      <c r="K64" s="123" t="s">
        <v>1604</v>
      </c>
    </row>
    <row r="65" spans="1:11" ht="10.9" customHeight="1" x14ac:dyDescent="0.2">
      <c r="A65" s="110">
        <v>74</v>
      </c>
      <c r="B65" s="110">
        <v>40</v>
      </c>
      <c r="C65" s="120">
        <v>40275</v>
      </c>
      <c r="D65" s="110" t="s">
        <v>252</v>
      </c>
      <c r="E65" s="77" t="s">
        <v>1605</v>
      </c>
      <c r="F65" s="110" t="s">
        <v>281</v>
      </c>
      <c r="G65" s="110">
        <v>5</v>
      </c>
      <c r="H65" s="110">
        <v>0</v>
      </c>
      <c r="I65" s="110" t="s">
        <v>1606</v>
      </c>
      <c r="J65" s="122">
        <v>2667</v>
      </c>
      <c r="K65" s="123" t="s">
        <v>1607</v>
      </c>
    </row>
    <row r="66" spans="1:11" ht="10.9" customHeight="1" x14ac:dyDescent="0.2">
      <c r="A66" s="110">
        <v>82</v>
      </c>
      <c r="B66" s="110">
        <v>22</v>
      </c>
      <c r="C66" s="120">
        <v>43095</v>
      </c>
      <c r="D66" s="110" t="s">
        <v>261</v>
      </c>
      <c r="E66" s="77" t="s">
        <v>1613</v>
      </c>
      <c r="F66" s="110" t="s">
        <v>281</v>
      </c>
      <c r="G66" s="110">
        <v>4</v>
      </c>
      <c r="H66" s="110">
        <v>1</v>
      </c>
      <c r="I66" s="121" t="s">
        <v>1614</v>
      </c>
      <c r="J66" s="122">
        <v>1001</v>
      </c>
      <c r="K66" s="123" t="s">
        <v>1615</v>
      </c>
    </row>
    <row r="67" spans="1:11" ht="10.9" customHeight="1" x14ac:dyDescent="0.2">
      <c r="A67" s="110">
        <v>87</v>
      </c>
      <c r="B67" s="110">
        <v>26</v>
      </c>
      <c r="C67" s="120">
        <v>44933</v>
      </c>
      <c r="D67" s="110" t="s">
        <v>252</v>
      </c>
      <c r="E67" s="77" t="s">
        <v>1478</v>
      </c>
      <c r="F67" s="110" t="s">
        <v>281</v>
      </c>
      <c r="G67" s="110">
        <v>4</v>
      </c>
      <c r="H67" s="110">
        <v>1</v>
      </c>
      <c r="I67" s="121" t="s">
        <v>1405</v>
      </c>
      <c r="J67" s="122">
        <v>3832</v>
      </c>
      <c r="K67" s="6" t="s">
        <v>1479</v>
      </c>
    </row>
    <row r="68" spans="1:11" s="165" customFormat="1" ht="10.9" customHeight="1" x14ac:dyDescent="0.2">
      <c r="A68" s="19"/>
      <c r="B68" s="21"/>
      <c r="C68" s="19"/>
      <c r="D68" s="19"/>
      <c r="E68" s="18"/>
      <c r="F68" s="19"/>
      <c r="G68" s="19"/>
      <c r="H68" s="19"/>
      <c r="I68" s="19"/>
      <c r="J68" s="20"/>
      <c r="K68" s="21"/>
    </row>
    <row r="70" spans="1:11" ht="10.9" customHeight="1" x14ac:dyDescent="0.2">
      <c r="A70" s="157" t="s">
        <v>1522</v>
      </c>
      <c r="B70" s="157"/>
      <c r="C70" s="157"/>
      <c r="D70" s="3"/>
      <c r="E70" s="102"/>
      <c r="F70" s="102"/>
      <c r="G70" s="102"/>
      <c r="H70" s="102"/>
      <c r="I70" s="132"/>
      <c r="J70" s="161"/>
    </row>
    <row r="71" spans="1:11" ht="10.9" customHeight="1" x14ac:dyDescent="0.2">
      <c r="A71" s="1" t="s">
        <v>1515</v>
      </c>
      <c r="B71" s="6" t="s">
        <v>1516</v>
      </c>
      <c r="C71" s="5">
        <v>9030</v>
      </c>
      <c r="D71" s="102" t="s">
        <v>252</v>
      </c>
      <c r="E71" s="3" t="s">
        <v>1517</v>
      </c>
      <c r="F71" s="102" t="s">
        <v>281</v>
      </c>
      <c r="G71" s="102">
        <v>7</v>
      </c>
      <c r="H71" s="102">
        <v>1</v>
      </c>
      <c r="I71" s="102"/>
      <c r="J71" s="159">
        <v>3000</v>
      </c>
      <c r="K71" s="125" t="s">
        <v>1518</v>
      </c>
    </row>
    <row r="72" spans="1:11" ht="10.9" customHeight="1" x14ac:dyDescent="0.2">
      <c r="A72" s="1" t="s">
        <v>1480</v>
      </c>
      <c r="B72" s="6" t="s">
        <v>1481</v>
      </c>
      <c r="C72" s="5">
        <v>9408</v>
      </c>
      <c r="D72" s="102" t="s">
        <v>252</v>
      </c>
      <c r="E72" s="3" t="s">
        <v>1482</v>
      </c>
      <c r="F72" s="102" t="s">
        <v>281</v>
      </c>
      <c r="G72" s="102">
        <v>5</v>
      </c>
      <c r="H72" s="102">
        <v>0</v>
      </c>
      <c r="I72" s="102"/>
      <c r="J72" s="159">
        <v>3000</v>
      </c>
      <c r="K72" s="125" t="s">
        <v>1483</v>
      </c>
    </row>
    <row r="73" spans="1:11" ht="10.9" customHeight="1" x14ac:dyDescent="0.2">
      <c r="A73" s="1" t="s">
        <v>1484</v>
      </c>
      <c r="B73" s="6" t="s">
        <v>1481</v>
      </c>
      <c r="C73" s="5">
        <v>9772</v>
      </c>
      <c r="D73" s="102" t="s">
        <v>252</v>
      </c>
      <c r="E73" s="3" t="s">
        <v>1485</v>
      </c>
      <c r="F73" s="102" t="s">
        <v>281</v>
      </c>
      <c r="G73" s="102">
        <v>5</v>
      </c>
      <c r="H73" s="102">
        <v>0</v>
      </c>
      <c r="I73" s="102"/>
      <c r="J73" s="159">
        <v>2500</v>
      </c>
      <c r="K73" s="125" t="s">
        <v>1486</v>
      </c>
    </row>
    <row r="74" spans="1:11" ht="10.9" customHeight="1" x14ac:dyDescent="0.2">
      <c r="A74" s="1" t="s">
        <v>1519</v>
      </c>
      <c r="B74" s="6" t="s">
        <v>1481</v>
      </c>
      <c r="C74" s="5">
        <v>10500</v>
      </c>
      <c r="D74" s="102" t="s">
        <v>252</v>
      </c>
      <c r="E74" s="3" t="s">
        <v>1520</v>
      </c>
      <c r="F74" s="102" t="s">
        <v>281</v>
      </c>
      <c r="G74" s="102">
        <v>7</v>
      </c>
      <c r="H74" s="102">
        <v>1</v>
      </c>
      <c r="I74" s="102"/>
      <c r="J74" s="159">
        <v>3370</v>
      </c>
      <c r="K74" s="125" t="s">
        <v>1521</v>
      </c>
    </row>
    <row r="75" spans="1:11" ht="10.9" customHeight="1" x14ac:dyDescent="0.2">
      <c r="A75" s="1">
        <v>8</v>
      </c>
      <c r="B75" s="6" t="s">
        <v>266</v>
      </c>
      <c r="C75" s="5">
        <v>13482</v>
      </c>
      <c r="D75" s="102" t="s">
        <v>252</v>
      </c>
      <c r="E75" s="3" t="s">
        <v>1487</v>
      </c>
      <c r="F75" s="102" t="s">
        <v>281</v>
      </c>
      <c r="G75" s="102">
        <v>5</v>
      </c>
      <c r="H75" s="102">
        <v>2</v>
      </c>
      <c r="I75" s="102"/>
      <c r="J75" s="159">
        <v>7783</v>
      </c>
      <c r="K75" s="125" t="s">
        <v>1488</v>
      </c>
    </row>
    <row r="76" spans="1:11" ht="10.9" customHeight="1" x14ac:dyDescent="0.2">
      <c r="A76" s="1">
        <v>9</v>
      </c>
      <c r="B76" s="6" t="s">
        <v>283</v>
      </c>
      <c r="C76" s="5">
        <v>13902</v>
      </c>
      <c r="D76" s="102" t="s">
        <v>252</v>
      </c>
      <c r="E76" s="3" t="s">
        <v>1489</v>
      </c>
      <c r="F76" s="102" t="s">
        <v>281</v>
      </c>
      <c r="G76" s="102">
        <v>3</v>
      </c>
      <c r="H76" s="102">
        <v>2</v>
      </c>
      <c r="I76" s="102"/>
      <c r="J76" s="159">
        <v>18795</v>
      </c>
      <c r="K76" s="125" t="s">
        <v>1358</v>
      </c>
    </row>
    <row r="77" spans="1:11" ht="10.9" customHeight="1" x14ac:dyDescent="0.2">
      <c r="A77" s="1">
        <v>19</v>
      </c>
      <c r="B77" s="6" t="s">
        <v>251</v>
      </c>
      <c r="C77" s="5">
        <v>20069</v>
      </c>
      <c r="D77" s="102" t="s">
        <v>261</v>
      </c>
      <c r="E77" s="3" t="s">
        <v>1490</v>
      </c>
      <c r="F77" s="102" t="s">
        <v>281</v>
      </c>
      <c r="G77" s="102">
        <v>5</v>
      </c>
      <c r="H77" s="102">
        <v>2</v>
      </c>
      <c r="I77" s="102"/>
      <c r="J77" s="159">
        <v>5191</v>
      </c>
      <c r="K77" s="125" t="s">
        <v>1491</v>
      </c>
    </row>
    <row r="78" spans="1:11" ht="10.9" customHeight="1" x14ac:dyDescent="0.2">
      <c r="A78" s="1">
        <v>29</v>
      </c>
      <c r="B78" s="6" t="s">
        <v>266</v>
      </c>
      <c r="C78" s="5">
        <v>23695</v>
      </c>
      <c r="D78" s="102" t="s">
        <v>252</v>
      </c>
      <c r="E78" s="3" t="s">
        <v>1492</v>
      </c>
      <c r="F78" s="102" t="s">
        <v>281</v>
      </c>
      <c r="G78" s="102">
        <v>5</v>
      </c>
      <c r="H78" s="102">
        <v>1</v>
      </c>
      <c r="I78" s="102"/>
      <c r="J78" s="159">
        <v>5808</v>
      </c>
      <c r="K78" s="125" t="s">
        <v>1493</v>
      </c>
    </row>
    <row r="79" spans="1:11" ht="10.9" customHeight="1" x14ac:dyDescent="0.2">
      <c r="A79" s="1">
        <v>33</v>
      </c>
      <c r="B79" s="6" t="s">
        <v>266</v>
      </c>
      <c r="C79" s="5">
        <v>25158</v>
      </c>
      <c r="D79" s="102" t="s">
        <v>261</v>
      </c>
      <c r="E79" s="3" t="s">
        <v>389</v>
      </c>
      <c r="F79" s="102" t="s">
        <v>281</v>
      </c>
      <c r="G79" s="102">
        <v>6</v>
      </c>
      <c r="H79" s="102">
        <v>0</v>
      </c>
      <c r="I79" s="102"/>
      <c r="J79" s="159">
        <v>6000</v>
      </c>
      <c r="K79" s="125" t="s">
        <v>1494</v>
      </c>
    </row>
    <row r="80" spans="1:11" ht="10.9" customHeight="1" x14ac:dyDescent="0.2">
      <c r="A80" s="1">
        <v>35</v>
      </c>
      <c r="B80" s="6" t="s">
        <v>1495</v>
      </c>
      <c r="C80" s="5">
        <v>25895</v>
      </c>
      <c r="D80" s="102" t="s">
        <v>252</v>
      </c>
      <c r="E80" s="3" t="s">
        <v>1496</v>
      </c>
      <c r="F80" s="102" t="s">
        <v>281</v>
      </c>
      <c r="G80" s="102">
        <v>5</v>
      </c>
      <c r="H80" s="102">
        <v>0</v>
      </c>
      <c r="I80" s="102"/>
      <c r="J80" s="159">
        <v>5390</v>
      </c>
      <c r="K80" s="125" t="s">
        <v>1497</v>
      </c>
    </row>
    <row r="81" spans="1:12" ht="10.9" customHeight="1" x14ac:dyDescent="0.2">
      <c r="A81" s="1">
        <v>72</v>
      </c>
      <c r="B81" s="6" t="s">
        <v>1159</v>
      </c>
      <c r="C81" s="5">
        <v>39382</v>
      </c>
      <c r="D81" s="102" t="s">
        <v>252</v>
      </c>
      <c r="E81" s="3" t="s">
        <v>1506</v>
      </c>
      <c r="F81" s="102" t="s">
        <v>281</v>
      </c>
      <c r="G81" s="102">
        <v>6</v>
      </c>
      <c r="H81" s="102">
        <v>0</v>
      </c>
      <c r="I81" s="102" t="s">
        <v>359</v>
      </c>
      <c r="J81" s="159">
        <v>1630</v>
      </c>
      <c r="K81" s="125" t="s">
        <v>1507</v>
      </c>
    </row>
    <row r="82" spans="1:12" ht="10.9" customHeight="1" x14ac:dyDescent="0.2">
      <c r="A82" s="1">
        <v>86</v>
      </c>
      <c r="B82" s="6" t="s">
        <v>1511</v>
      </c>
      <c r="C82" s="5">
        <v>44488</v>
      </c>
      <c r="D82" s="102" t="s">
        <v>261</v>
      </c>
      <c r="E82" s="3" t="s">
        <v>1512</v>
      </c>
      <c r="F82" s="102" t="s">
        <v>281</v>
      </c>
      <c r="G82" s="102">
        <v>3</v>
      </c>
      <c r="H82" s="102">
        <v>1</v>
      </c>
      <c r="I82" s="102" t="s">
        <v>1513</v>
      </c>
      <c r="J82" s="159">
        <v>1637</v>
      </c>
      <c r="K82" s="6" t="s">
        <v>1514</v>
      </c>
    </row>
    <row r="83" spans="1:12" ht="10.9" customHeight="1" x14ac:dyDescent="0.2">
      <c r="A83" s="1"/>
      <c r="B83" s="6"/>
      <c r="C83" s="5"/>
      <c r="D83" s="23"/>
      <c r="E83" s="2"/>
      <c r="F83" s="23"/>
      <c r="G83" s="23"/>
      <c r="H83" s="23"/>
      <c r="I83" s="23"/>
      <c r="J83" s="162"/>
      <c r="K83" s="2"/>
      <c r="L83" s="164"/>
    </row>
    <row r="84" spans="1:12" ht="10.9" customHeight="1" x14ac:dyDescent="0.2">
      <c r="A84" s="157" t="s">
        <v>1524</v>
      </c>
      <c r="B84" s="157"/>
      <c r="C84" s="157"/>
      <c r="D84" s="3"/>
      <c r="E84" s="102"/>
      <c r="F84" s="102"/>
      <c r="G84" s="102"/>
      <c r="H84" s="102"/>
      <c r="I84" s="132"/>
      <c r="J84" s="161"/>
    </row>
    <row r="85" spans="1:12" ht="10.9" customHeight="1" x14ac:dyDescent="0.2">
      <c r="A85" s="1">
        <v>51</v>
      </c>
      <c r="B85" s="6" t="s">
        <v>1498</v>
      </c>
      <c r="C85" s="5">
        <v>31650</v>
      </c>
      <c r="D85" s="23" t="s">
        <v>261</v>
      </c>
      <c r="E85" s="2" t="s">
        <v>501</v>
      </c>
      <c r="F85" s="23" t="s">
        <v>281</v>
      </c>
      <c r="G85" s="23">
        <v>4</v>
      </c>
      <c r="H85" s="23">
        <v>2</v>
      </c>
      <c r="I85" s="23"/>
      <c r="J85" s="162">
        <v>9162</v>
      </c>
      <c r="K85" s="2" t="s">
        <v>1499</v>
      </c>
      <c r="L85" s="164"/>
    </row>
    <row r="86" spans="1:12" ht="10.9" customHeight="1" x14ac:dyDescent="0.2">
      <c r="A86" s="1">
        <v>54</v>
      </c>
      <c r="B86" s="6" t="s">
        <v>1502</v>
      </c>
      <c r="C86" s="5">
        <v>32749</v>
      </c>
      <c r="D86" s="23" t="s">
        <v>252</v>
      </c>
      <c r="E86" s="2" t="s">
        <v>269</v>
      </c>
      <c r="F86" s="23" t="s">
        <v>281</v>
      </c>
      <c r="G86" s="23">
        <v>4</v>
      </c>
      <c r="H86" s="23">
        <v>1</v>
      </c>
      <c r="I86" s="23"/>
      <c r="J86" s="162">
        <v>2236</v>
      </c>
      <c r="K86" s="2" t="s">
        <v>1503</v>
      </c>
      <c r="L86" s="164"/>
    </row>
    <row r="87" spans="1:12" ht="10.9" customHeight="1" x14ac:dyDescent="0.2">
      <c r="B87"/>
      <c r="C87" s="148"/>
    </row>
    <row r="88" spans="1:12" ht="10.9" customHeight="1" x14ac:dyDescent="0.2">
      <c r="A88" s="157" t="s">
        <v>1526</v>
      </c>
      <c r="B88" s="157"/>
      <c r="C88" s="157"/>
      <c r="D88" s="3"/>
      <c r="E88" s="102"/>
      <c r="F88" s="102"/>
      <c r="G88" s="102"/>
      <c r="H88" s="102"/>
      <c r="I88" s="132"/>
      <c r="J88" s="161"/>
    </row>
    <row r="89" spans="1:12" ht="10.9" customHeight="1" x14ac:dyDescent="0.2">
      <c r="A89" s="1">
        <v>51</v>
      </c>
      <c r="B89" s="6" t="s">
        <v>1500</v>
      </c>
      <c r="C89" s="5">
        <v>31741</v>
      </c>
      <c r="D89" s="23" t="s">
        <v>252</v>
      </c>
      <c r="E89" s="2" t="s">
        <v>981</v>
      </c>
      <c r="F89" s="23" t="s">
        <v>281</v>
      </c>
      <c r="G89" s="23">
        <v>4</v>
      </c>
      <c r="H89" s="23">
        <v>1</v>
      </c>
      <c r="I89" s="23"/>
      <c r="J89" s="162">
        <v>1630</v>
      </c>
      <c r="K89" s="2" t="s">
        <v>1501</v>
      </c>
      <c r="L89" s="164"/>
    </row>
    <row r="90" spans="1:12" ht="10.9" customHeight="1" x14ac:dyDescent="0.2">
      <c r="A90" s="1">
        <v>54</v>
      </c>
      <c r="B90" s="6" t="s">
        <v>1504</v>
      </c>
      <c r="C90" s="5">
        <v>32819</v>
      </c>
      <c r="D90" s="23" t="s">
        <v>252</v>
      </c>
      <c r="E90" s="2" t="s">
        <v>269</v>
      </c>
      <c r="F90" s="23" t="s">
        <v>281</v>
      </c>
      <c r="G90" s="23">
        <v>7</v>
      </c>
      <c r="H90" s="23">
        <v>1</v>
      </c>
      <c r="I90" s="23"/>
      <c r="J90" s="162">
        <v>1443</v>
      </c>
      <c r="K90" s="2" t="s">
        <v>1505</v>
      </c>
      <c r="L90" s="164"/>
    </row>
    <row r="91" spans="1:12" ht="10.9" customHeight="1" x14ac:dyDescent="0.2">
      <c r="A91" s="1"/>
      <c r="B91" s="6"/>
      <c r="C91" s="5"/>
      <c r="D91" s="23"/>
      <c r="E91" s="2"/>
      <c r="F91" s="23"/>
      <c r="G91" s="23"/>
      <c r="H91" s="23"/>
      <c r="I91" s="23"/>
      <c r="J91" s="162"/>
      <c r="K91" s="2"/>
      <c r="L91" s="164"/>
    </row>
    <row r="92" spans="1:12" ht="10.9" customHeight="1" x14ac:dyDescent="0.2">
      <c r="A92" s="157" t="s">
        <v>1525</v>
      </c>
      <c r="B92" s="157"/>
      <c r="C92" s="157"/>
      <c r="D92" s="3"/>
      <c r="E92" s="102"/>
      <c r="F92" s="102"/>
      <c r="G92" s="102"/>
      <c r="H92" s="102"/>
      <c r="I92" s="132"/>
      <c r="J92" s="161"/>
    </row>
    <row r="93" spans="1:12" ht="10.9" customHeight="1" x14ac:dyDescent="0.2">
      <c r="A93" s="144">
        <v>74</v>
      </c>
      <c r="B93" s="146" t="s">
        <v>1508</v>
      </c>
      <c r="C93" s="145">
        <v>40162</v>
      </c>
      <c r="D93" s="144" t="s">
        <v>252</v>
      </c>
      <c r="E93" s="143" t="s">
        <v>1509</v>
      </c>
      <c r="F93" s="144" t="s">
        <v>281</v>
      </c>
      <c r="G93" s="144">
        <v>3</v>
      </c>
      <c r="H93" s="144">
        <v>1</v>
      </c>
      <c r="I93" s="158" t="s">
        <v>359</v>
      </c>
      <c r="J93" s="163">
        <v>853</v>
      </c>
      <c r="K93" s="125" t="s">
        <v>1510</v>
      </c>
      <c r="L93" s="164" t="s">
        <v>1523</v>
      </c>
    </row>
    <row r="160" spans="2:11" ht="10.9" customHeight="1" x14ac:dyDescent="0.2">
      <c r="B160"/>
      <c r="C160" s="148"/>
      <c r="J160"/>
      <c r="K160" s="160"/>
    </row>
    <row r="161" spans="2:11" ht="10.9" customHeight="1" x14ac:dyDescent="0.2">
      <c r="B161"/>
      <c r="C161" s="148"/>
      <c r="J161"/>
      <c r="K161" s="160"/>
    </row>
    <row r="162" spans="2:11" ht="10.9" customHeight="1" x14ac:dyDescent="0.2">
      <c r="B162"/>
      <c r="C162" s="148"/>
      <c r="J162"/>
      <c r="K162" s="160"/>
    </row>
    <row r="163" spans="2:11" ht="10.9" customHeight="1" x14ac:dyDescent="0.2">
      <c r="B163"/>
      <c r="C163" s="148"/>
      <c r="J163"/>
      <c r="K163" s="160"/>
    </row>
    <row r="164" spans="2:11" ht="10.9" customHeight="1" x14ac:dyDescent="0.2">
      <c r="B164"/>
      <c r="C164" s="148"/>
      <c r="J164"/>
      <c r="K164" s="160"/>
    </row>
  </sheetData>
  <sortState ref="A71:DH88">
    <sortCondition ref="L71:L88"/>
    <sortCondition ref="C71:C8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120" zoomScaleNormal="120" workbookViewId="0">
      <pane xSplit="5" ySplit="1" topLeftCell="F43" activePane="bottomRight" state="frozen"/>
      <selection pane="topRight" activeCell="E1" sqref="E1"/>
      <selection pane="bottomLeft" activeCell="A2" sqref="A2"/>
      <selection pane="bottomRight" activeCell="A64" sqref="A64"/>
    </sheetView>
  </sheetViews>
  <sheetFormatPr defaultRowHeight="12.75" x14ac:dyDescent="0.2"/>
  <cols>
    <col min="1" max="1" width="10.85546875" style="151" customWidth="1"/>
    <col min="2" max="2" width="10.28515625" bestFit="1" customWidth="1"/>
    <col min="3" max="3" width="8.140625" bestFit="1" customWidth="1"/>
    <col min="4" max="4" width="4.7109375" bestFit="1" customWidth="1"/>
    <col min="5" max="5" width="14.140625" bestFit="1" customWidth="1"/>
    <col min="6" max="6" width="2.85546875" bestFit="1" customWidth="1"/>
    <col min="7" max="8" width="1.5703125" bestFit="1" customWidth="1"/>
    <col min="9" max="9" width="3.42578125" bestFit="1" customWidth="1"/>
    <col min="10" max="10" width="5.5703125" bestFit="1" customWidth="1"/>
    <col min="11" max="11" width="35.28515625" bestFit="1" customWidth="1"/>
  </cols>
  <sheetData>
    <row r="1" spans="1:11" x14ac:dyDescent="0.2">
      <c r="A1" s="150" t="s">
        <v>1411</v>
      </c>
      <c r="B1" s="1" t="s">
        <v>1350</v>
      </c>
      <c r="C1" s="1" t="s">
        <v>250</v>
      </c>
      <c r="D1" s="1" t="s">
        <v>257</v>
      </c>
      <c r="E1" s="10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889</v>
      </c>
      <c r="K1" s="6" t="s">
        <v>264</v>
      </c>
    </row>
    <row r="2" spans="1:11" x14ac:dyDescent="0.2">
      <c r="A2" s="150">
        <v>1</v>
      </c>
      <c r="B2" s="1">
        <v>127</v>
      </c>
      <c r="C2" s="5">
        <v>11004</v>
      </c>
      <c r="D2" s="23" t="s">
        <v>261</v>
      </c>
      <c r="E2" s="2" t="s">
        <v>1351</v>
      </c>
      <c r="F2" s="23" t="s">
        <v>281</v>
      </c>
      <c r="G2" s="23">
        <v>3</v>
      </c>
      <c r="H2" s="23">
        <v>2</v>
      </c>
      <c r="I2" s="23"/>
      <c r="J2" s="149">
        <v>9434</v>
      </c>
      <c r="K2" s="113" t="s">
        <v>1352</v>
      </c>
    </row>
    <row r="3" spans="1:11" x14ac:dyDescent="0.2">
      <c r="A3" s="150"/>
      <c r="B3" s="1">
        <v>129</v>
      </c>
      <c r="C3" s="5">
        <v>11018</v>
      </c>
      <c r="D3" s="23" t="s">
        <v>261</v>
      </c>
      <c r="E3" s="2" t="s">
        <v>1353</v>
      </c>
      <c r="F3" s="23" t="s">
        <v>254</v>
      </c>
      <c r="G3" s="23">
        <v>4</v>
      </c>
      <c r="H3" s="23">
        <v>4</v>
      </c>
      <c r="I3" s="23"/>
      <c r="J3" s="149">
        <v>4079</v>
      </c>
      <c r="K3" s="113" t="s">
        <v>1354</v>
      </c>
    </row>
    <row r="4" spans="1:11" x14ac:dyDescent="0.2">
      <c r="A4" s="150"/>
      <c r="B4" s="1"/>
      <c r="C4" s="5"/>
      <c r="D4" s="23"/>
      <c r="E4" s="2"/>
      <c r="F4" s="23"/>
      <c r="G4" s="23"/>
      <c r="H4" s="23"/>
      <c r="I4" s="23"/>
      <c r="J4" s="149"/>
      <c r="K4" s="113"/>
    </row>
    <row r="5" spans="1:11" x14ac:dyDescent="0.2">
      <c r="A5" s="150">
        <v>2</v>
      </c>
      <c r="B5" s="1">
        <v>613</v>
      </c>
      <c r="C5" s="5">
        <v>12726</v>
      </c>
      <c r="D5" s="23" t="s">
        <v>261</v>
      </c>
      <c r="E5" s="2" t="s">
        <v>274</v>
      </c>
      <c r="F5" s="23" t="s">
        <v>268</v>
      </c>
      <c r="G5" s="23">
        <v>3</v>
      </c>
      <c r="H5" s="23">
        <v>5</v>
      </c>
      <c r="I5" s="23"/>
      <c r="J5" s="149">
        <v>9013</v>
      </c>
      <c r="K5" s="113" t="s">
        <v>1355</v>
      </c>
    </row>
    <row r="6" spans="1:11" x14ac:dyDescent="0.2">
      <c r="A6" s="150"/>
      <c r="B6" s="1">
        <v>615</v>
      </c>
      <c r="C6" s="5">
        <v>12740</v>
      </c>
      <c r="D6" s="23" t="s">
        <v>261</v>
      </c>
      <c r="E6" s="2" t="s">
        <v>1356</v>
      </c>
      <c r="F6" s="23" t="s">
        <v>281</v>
      </c>
      <c r="G6" s="23">
        <v>3</v>
      </c>
      <c r="H6" s="23">
        <v>2</v>
      </c>
      <c r="I6" s="23"/>
      <c r="J6" s="149">
        <v>6239</v>
      </c>
      <c r="K6" s="113" t="s">
        <v>1357</v>
      </c>
    </row>
    <row r="7" spans="1:11" x14ac:dyDescent="0.2">
      <c r="A7" s="150"/>
      <c r="B7" s="1"/>
      <c r="C7" s="5"/>
      <c r="D7" s="23"/>
      <c r="E7" s="2"/>
      <c r="F7" s="23"/>
      <c r="G7" s="23"/>
      <c r="H7" s="23"/>
      <c r="I7" s="23"/>
      <c r="J7" s="149"/>
      <c r="K7" s="113"/>
    </row>
    <row r="8" spans="1:11" x14ac:dyDescent="0.2">
      <c r="A8" s="150">
        <v>3</v>
      </c>
      <c r="B8" s="1">
        <v>904</v>
      </c>
      <c r="C8" s="5">
        <v>13769</v>
      </c>
      <c r="D8" s="23" t="s">
        <v>261</v>
      </c>
      <c r="E8" s="2" t="s">
        <v>1066</v>
      </c>
      <c r="F8" s="23" t="s">
        <v>268</v>
      </c>
      <c r="G8" s="23">
        <v>3</v>
      </c>
      <c r="H8" s="23">
        <v>4</v>
      </c>
      <c r="I8" s="23"/>
      <c r="J8" s="149">
        <v>7284</v>
      </c>
      <c r="K8" s="113" t="s">
        <v>1358</v>
      </c>
    </row>
    <row r="9" spans="1:11" x14ac:dyDescent="0.2">
      <c r="A9" s="150"/>
      <c r="B9" s="1">
        <v>905</v>
      </c>
      <c r="C9" s="5">
        <v>13772</v>
      </c>
      <c r="D9" s="23" t="s">
        <v>261</v>
      </c>
      <c r="E9" s="2" t="s">
        <v>1331</v>
      </c>
      <c r="F9" s="23" t="s">
        <v>281</v>
      </c>
      <c r="G9" s="23">
        <v>3</v>
      </c>
      <c r="H9" s="23">
        <v>2</v>
      </c>
      <c r="I9" s="23"/>
      <c r="J9" s="149">
        <v>5601</v>
      </c>
      <c r="K9" s="113" t="s">
        <v>1359</v>
      </c>
    </row>
    <row r="10" spans="1:11" x14ac:dyDescent="0.2">
      <c r="A10" s="150"/>
      <c r="B10" s="1"/>
      <c r="C10" s="5"/>
      <c r="D10" s="23"/>
      <c r="E10" s="2"/>
      <c r="F10" s="23"/>
      <c r="G10" s="23"/>
      <c r="H10" s="23"/>
      <c r="I10" s="23"/>
      <c r="J10" s="149"/>
      <c r="K10" s="113"/>
    </row>
    <row r="11" spans="1:11" x14ac:dyDescent="0.2">
      <c r="A11" s="150">
        <v>4</v>
      </c>
      <c r="B11" s="1">
        <v>1033</v>
      </c>
      <c r="C11" s="5">
        <v>14329</v>
      </c>
      <c r="D11" s="23" t="s">
        <v>261</v>
      </c>
      <c r="E11" s="2" t="s">
        <v>1360</v>
      </c>
      <c r="F11" s="23" t="s">
        <v>254</v>
      </c>
      <c r="G11" s="23">
        <v>3</v>
      </c>
      <c r="H11" s="23">
        <v>3</v>
      </c>
      <c r="I11" s="23"/>
      <c r="J11" s="149">
        <v>4178</v>
      </c>
      <c r="K11" s="113" t="s">
        <v>1361</v>
      </c>
    </row>
    <row r="12" spans="1:11" x14ac:dyDescent="0.2">
      <c r="A12" s="150"/>
      <c r="B12" s="1">
        <v>1035</v>
      </c>
      <c r="C12" s="5">
        <v>14342</v>
      </c>
      <c r="D12" s="23" t="s">
        <v>261</v>
      </c>
      <c r="E12" s="2" t="s">
        <v>1362</v>
      </c>
      <c r="F12" s="23" t="s">
        <v>281</v>
      </c>
      <c r="G12" s="23">
        <v>3</v>
      </c>
      <c r="H12" s="23">
        <v>1</v>
      </c>
      <c r="I12" s="23"/>
      <c r="J12" s="149">
        <v>5285</v>
      </c>
      <c r="K12" s="113" t="s">
        <v>1363</v>
      </c>
    </row>
    <row r="13" spans="1:11" x14ac:dyDescent="0.2">
      <c r="A13" s="150"/>
      <c r="B13" s="1"/>
      <c r="C13" s="5"/>
      <c r="D13" s="23"/>
      <c r="E13" s="2"/>
      <c r="F13" s="23"/>
      <c r="G13" s="23"/>
      <c r="H13" s="23"/>
      <c r="I13" s="23"/>
      <c r="J13" s="149"/>
      <c r="K13" s="113"/>
    </row>
    <row r="14" spans="1:11" x14ac:dyDescent="0.2">
      <c r="A14" s="150">
        <v>5</v>
      </c>
      <c r="B14" s="1">
        <v>1328</v>
      </c>
      <c r="C14" s="5">
        <v>17948</v>
      </c>
      <c r="D14" s="23" t="s">
        <v>261</v>
      </c>
      <c r="E14" s="2" t="s">
        <v>1364</v>
      </c>
      <c r="F14" s="23" t="s">
        <v>281</v>
      </c>
      <c r="G14" s="23">
        <v>3</v>
      </c>
      <c r="H14" s="23">
        <v>2</v>
      </c>
      <c r="I14" s="23"/>
      <c r="J14" s="149">
        <v>8148</v>
      </c>
      <c r="K14" s="113" t="s">
        <v>1365</v>
      </c>
    </row>
    <row r="15" spans="1:11" x14ac:dyDescent="0.2">
      <c r="A15" s="150"/>
      <c r="B15" s="1">
        <v>1330</v>
      </c>
      <c r="C15" s="5">
        <v>17962</v>
      </c>
      <c r="D15" s="23" t="s">
        <v>261</v>
      </c>
      <c r="E15" s="2" t="s">
        <v>1366</v>
      </c>
      <c r="F15" s="23" t="s">
        <v>254</v>
      </c>
      <c r="G15" s="23">
        <v>3</v>
      </c>
      <c r="H15" s="23">
        <v>3</v>
      </c>
      <c r="I15" s="23"/>
      <c r="J15" s="149">
        <v>3062</v>
      </c>
      <c r="K15" s="113" t="s">
        <v>1367</v>
      </c>
    </row>
    <row r="16" spans="1:11" x14ac:dyDescent="0.2">
      <c r="A16" s="150"/>
      <c r="B16" s="1"/>
      <c r="C16" s="5"/>
      <c r="D16" s="23"/>
      <c r="E16" s="2"/>
      <c r="F16" s="23"/>
      <c r="G16" s="23"/>
      <c r="H16" s="23"/>
      <c r="I16" s="23"/>
      <c r="J16" s="149"/>
      <c r="K16" s="113"/>
    </row>
    <row r="17" spans="1:11" x14ac:dyDescent="0.2">
      <c r="A17" s="150">
        <v>6</v>
      </c>
      <c r="B17" s="1">
        <v>1421</v>
      </c>
      <c r="C17" s="5">
        <v>18256</v>
      </c>
      <c r="D17" s="23" t="s">
        <v>261</v>
      </c>
      <c r="E17" s="2" t="s">
        <v>1368</v>
      </c>
      <c r="F17" s="23" t="s">
        <v>254</v>
      </c>
      <c r="G17" s="23">
        <v>3</v>
      </c>
      <c r="H17" s="23">
        <v>3</v>
      </c>
      <c r="I17" s="23"/>
      <c r="J17" s="149">
        <v>8348</v>
      </c>
      <c r="K17" s="113" t="s">
        <v>1369</v>
      </c>
    </row>
    <row r="18" spans="1:11" x14ac:dyDescent="0.2">
      <c r="A18" s="150"/>
      <c r="B18" s="1">
        <v>1423</v>
      </c>
      <c r="C18" s="5">
        <v>18259</v>
      </c>
      <c r="D18" s="23" t="s">
        <v>261</v>
      </c>
      <c r="E18" s="2" t="s">
        <v>1362</v>
      </c>
      <c r="F18" s="23" t="s">
        <v>268</v>
      </c>
      <c r="G18" s="23">
        <v>3</v>
      </c>
      <c r="H18" s="23">
        <v>4</v>
      </c>
      <c r="I18" s="23"/>
      <c r="J18" s="149">
        <v>14298</v>
      </c>
      <c r="K18" s="113" t="s">
        <v>1370</v>
      </c>
    </row>
    <row r="19" spans="1:11" x14ac:dyDescent="0.2">
      <c r="A19" s="150"/>
      <c r="B19" s="1"/>
      <c r="C19" s="5"/>
      <c r="D19" s="23"/>
      <c r="E19" s="2"/>
      <c r="F19" s="23"/>
      <c r="G19" s="23"/>
      <c r="H19" s="23"/>
      <c r="I19" s="23"/>
      <c r="J19" s="149"/>
      <c r="K19" s="113"/>
    </row>
    <row r="20" spans="1:11" x14ac:dyDescent="0.2">
      <c r="A20" s="150">
        <v>7</v>
      </c>
      <c r="B20" s="1">
        <v>1846</v>
      </c>
      <c r="C20" s="5">
        <v>19841</v>
      </c>
      <c r="D20" s="23" t="s">
        <v>261</v>
      </c>
      <c r="E20" s="2" t="s">
        <v>274</v>
      </c>
      <c r="F20" s="23" t="s">
        <v>281</v>
      </c>
      <c r="G20" s="23">
        <v>3</v>
      </c>
      <c r="H20" s="23">
        <v>2</v>
      </c>
      <c r="I20" s="23"/>
      <c r="J20" s="149">
        <v>3792</v>
      </c>
      <c r="K20" s="113" t="s">
        <v>1371</v>
      </c>
    </row>
    <row r="21" spans="1:11" x14ac:dyDescent="0.2">
      <c r="A21" s="150"/>
      <c r="B21" s="1">
        <v>1901</v>
      </c>
      <c r="C21" s="5">
        <v>19957</v>
      </c>
      <c r="D21" s="23" t="s">
        <v>261</v>
      </c>
      <c r="E21" s="2" t="s">
        <v>1366</v>
      </c>
      <c r="F21" s="23" t="s">
        <v>281</v>
      </c>
      <c r="G21" s="23">
        <v>6</v>
      </c>
      <c r="H21" s="23">
        <v>2</v>
      </c>
      <c r="I21" s="23"/>
      <c r="J21" s="149">
        <v>11695</v>
      </c>
      <c r="K21" s="113" t="s">
        <v>1372</v>
      </c>
    </row>
    <row r="22" spans="1:11" x14ac:dyDescent="0.2">
      <c r="A22" s="150"/>
      <c r="B22" s="1"/>
      <c r="C22" s="5"/>
      <c r="D22" s="23"/>
      <c r="E22" s="2"/>
      <c r="F22" s="23"/>
      <c r="G22" s="23"/>
      <c r="H22" s="23"/>
      <c r="I22" s="23"/>
      <c r="J22" s="149"/>
      <c r="K22" s="113"/>
    </row>
    <row r="23" spans="1:11" x14ac:dyDescent="0.2">
      <c r="A23" s="150">
        <v>8</v>
      </c>
      <c r="B23" s="1">
        <v>1916</v>
      </c>
      <c r="C23" s="5">
        <v>20020</v>
      </c>
      <c r="D23" s="23" t="s">
        <v>261</v>
      </c>
      <c r="E23" s="2" t="s">
        <v>580</v>
      </c>
      <c r="F23" s="23" t="s">
        <v>281</v>
      </c>
      <c r="G23" s="23">
        <v>3</v>
      </c>
      <c r="H23" s="23">
        <v>0</v>
      </c>
      <c r="I23" s="23"/>
      <c r="J23" s="149">
        <v>10395</v>
      </c>
      <c r="K23" s="113" t="s">
        <v>1373</v>
      </c>
    </row>
    <row r="24" spans="1:11" x14ac:dyDescent="0.2">
      <c r="A24" s="150"/>
      <c r="B24" s="1">
        <v>1918</v>
      </c>
      <c r="C24" s="5">
        <v>20034</v>
      </c>
      <c r="D24" s="23" t="s">
        <v>261</v>
      </c>
      <c r="E24" s="2" t="s">
        <v>1362</v>
      </c>
      <c r="F24" s="23" t="s">
        <v>281</v>
      </c>
      <c r="G24" s="23">
        <v>5</v>
      </c>
      <c r="H24" s="23">
        <v>4</v>
      </c>
      <c r="I24" s="23"/>
      <c r="J24" s="149">
        <v>5616</v>
      </c>
      <c r="K24" s="113" t="s">
        <v>1374</v>
      </c>
    </row>
    <row r="25" spans="1:11" x14ac:dyDescent="0.2">
      <c r="A25" s="150"/>
      <c r="B25" s="1"/>
      <c r="C25" s="5"/>
      <c r="D25" s="23"/>
      <c r="E25" s="2"/>
      <c r="F25" s="23"/>
      <c r="G25" s="23"/>
      <c r="H25" s="23"/>
      <c r="I25" s="23"/>
      <c r="J25" s="149"/>
      <c r="K25" s="113"/>
    </row>
    <row r="26" spans="1:11" x14ac:dyDescent="0.2">
      <c r="A26" s="150">
        <v>9</v>
      </c>
      <c r="B26" s="1">
        <v>2020</v>
      </c>
      <c r="C26" s="5">
        <v>20419</v>
      </c>
      <c r="D26" s="23" t="s">
        <v>261</v>
      </c>
      <c r="E26" s="2" t="s">
        <v>1327</v>
      </c>
      <c r="F26" s="23" t="s">
        <v>281</v>
      </c>
      <c r="G26" s="23">
        <v>4</v>
      </c>
      <c r="H26" s="23">
        <v>1</v>
      </c>
      <c r="I26" s="23"/>
      <c r="J26" s="149">
        <v>8752</v>
      </c>
      <c r="K26" s="113" t="s">
        <v>1375</v>
      </c>
    </row>
    <row r="27" spans="1:11" x14ac:dyDescent="0.2">
      <c r="A27" s="150"/>
      <c r="B27" s="1">
        <v>2022</v>
      </c>
      <c r="C27" s="5">
        <v>20440</v>
      </c>
      <c r="D27" s="23" t="s">
        <v>261</v>
      </c>
      <c r="E27" s="2" t="s">
        <v>1366</v>
      </c>
      <c r="F27" s="23" t="s">
        <v>281</v>
      </c>
      <c r="G27" s="23">
        <v>5</v>
      </c>
      <c r="H27" s="23">
        <v>4</v>
      </c>
      <c r="I27" s="23"/>
      <c r="J27" s="149">
        <v>5685</v>
      </c>
      <c r="K27" s="113" t="s">
        <v>1376</v>
      </c>
    </row>
    <row r="28" spans="1:11" x14ac:dyDescent="0.2">
      <c r="A28" s="150"/>
      <c r="B28" s="1"/>
      <c r="C28" s="5"/>
      <c r="D28" s="23"/>
      <c r="E28" s="2"/>
      <c r="F28" s="23"/>
      <c r="G28" s="23"/>
      <c r="H28" s="23"/>
      <c r="I28" s="23"/>
      <c r="J28" s="149"/>
      <c r="K28" s="113"/>
    </row>
    <row r="29" spans="1:11" x14ac:dyDescent="0.2">
      <c r="A29" s="150">
        <v>10</v>
      </c>
      <c r="B29" s="1">
        <v>2312</v>
      </c>
      <c r="C29" s="5">
        <v>21459</v>
      </c>
      <c r="D29" s="23" t="s">
        <v>261</v>
      </c>
      <c r="E29" s="2" t="s">
        <v>1368</v>
      </c>
      <c r="F29" s="23" t="s">
        <v>281</v>
      </c>
      <c r="G29" s="23">
        <v>4</v>
      </c>
      <c r="H29" s="23">
        <v>2</v>
      </c>
      <c r="I29" s="23"/>
      <c r="J29" s="149">
        <v>8540</v>
      </c>
      <c r="K29" s="113" t="s">
        <v>1377</v>
      </c>
    </row>
    <row r="30" spans="1:11" x14ac:dyDescent="0.2">
      <c r="A30" s="150"/>
      <c r="B30" s="1">
        <v>2313</v>
      </c>
      <c r="C30" s="5">
        <v>21462</v>
      </c>
      <c r="D30" s="23" t="s">
        <v>261</v>
      </c>
      <c r="E30" s="2" t="s">
        <v>1364</v>
      </c>
      <c r="F30" s="23" t="s">
        <v>281</v>
      </c>
      <c r="G30" s="23">
        <v>5</v>
      </c>
      <c r="H30" s="23">
        <v>1</v>
      </c>
      <c r="I30" s="23"/>
      <c r="J30" s="149">
        <v>9799</v>
      </c>
      <c r="K30" s="113" t="s">
        <v>1378</v>
      </c>
    </row>
    <row r="31" spans="1:11" x14ac:dyDescent="0.2">
      <c r="A31" s="150"/>
      <c r="B31" s="1"/>
      <c r="C31" s="5"/>
      <c r="D31" s="23"/>
      <c r="E31" s="2"/>
      <c r="F31" s="23"/>
      <c r="G31" s="23"/>
      <c r="H31" s="23"/>
      <c r="I31" s="23"/>
      <c r="J31" s="149"/>
      <c r="K31" s="113"/>
    </row>
    <row r="32" spans="1:11" x14ac:dyDescent="0.2">
      <c r="A32" s="150">
        <v>11</v>
      </c>
      <c r="B32" s="1">
        <v>3006</v>
      </c>
      <c r="C32" s="5">
        <v>23998</v>
      </c>
      <c r="D32" s="23" t="s">
        <v>261</v>
      </c>
      <c r="E32" s="2" t="s">
        <v>482</v>
      </c>
      <c r="F32" s="23" t="s">
        <v>281</v>
      </c>
      <c r="G32" s="23">
        <v>3</v>
      </c>
      <c r="H32" s="23">
        <v>2</v>
      </c>
      <c r="I32" s="23"/>
      <c r="J32" s="149">
        <v>10530</v>
      </c>
      <c r="K32" s="113" t="s">
        <v>1379</v>
      </c>
    </row>
    <row r="33" spans="1:11" x14ac:dyDescent="0.2">
      <c r="A33" s="150"/>
      <c r="B33" s="1">
        <v>3007</v>
      </c>
      <c r="C33" s="5">
        <v>24003</v>
      </c>
      <c r="D33" s="23" t="s">
        <v>261</v>
      </c>
      <c r="E33" s="2" t="s">
        <v>495</v>
      </c>
      <c r="F33" s="23" t="s">
        <v>281</v>
      </c>
      <c r="G33" s="23">
        <v>4</v>
      </c>
      <c r="H33" s="23">
        <v>1</v>
      </c>
      <c r="I33" s="23"/>
      <c r="J33" s="149">
        <v>20554</v>
      </c>
      <c r="K33" s="113" t="s">
        <v>1380</v>
      </c>
    </row>
    <row r="34" spans="1:11" x14ac:dyDescent="0.2">
      <c r="A34" s="150"/>
      <c r="B34" s="1"/>
      <c r="C34" s="5"/>
      <c r="D34" s="23"/>
      <c r="E34" s="2"/>
      <c r="F34" s="23"/>
      <c r="G34" s="23"/>
      <c r="H34" s="23"/>
      <c r="I34" s="23"/>
      <c r="J34" s="149"/>
      <c r="K34" s="113"/>
    </row>
    <row r="35" spans="1:11" x14ac:dyDescent="0.2">
      <c r="A35" s="150">
        <v>12</v>
      </c>
      <c r="B35" s="1">
        <v>3727</v>
      </c>
      <c r="C35" s="5">
        <v>26691</v>
      </c>
      <c r="D35" s="23" t="s">
        <v>261</v>
      </c>
      <c r="E35" s="2" t="s">
        <v>1381</v>
      </c>
      <c r="F35" s="23" t="s">
        <v>281</v>
      </c>
      <c r="G35" s="23">
        <v>3</v>
      </c>
      <c r="H35" s="23">
        <v>2</v>
      </c>
      <c r="I35" s="23"/>
      <c r="J35" s="149">
        <v>11964</v>
      </c>
      <c r="K35" s="113" t="s">
        <v>1382</v>
      </c>
    </row>
    <row r="36" spans="1:11" x14ac:dyDescent="0.2">
      <c r="A36" s="150"/>
      <c r="B36" s="1">
        <v>3728</v>
      </c>
      <c r="C36" s="5">
        <v>26693</v>
      </c>
      <c r="D36" s="23" t="s">
        <v>261</v>
      </c>
      <c r="E36" s="2" t="s">
        <v>1383</v>
      </c>
      <c r="F36" s="23" t="s">
        <v>281</v>
      </c>
      <c r="G36" s="23">
        <v>3</v>
      </c>
      <c r="H36" s="23">
        <v>1</v>
      </c>
      <c r="I36" s="23"/>
      <c r="J36" s="149">
        <v>3269</v>
      </c>
      <c r="K36" s="113" t="s">
        <v>1384</v>
      </c>
    </row>
    <row r="37" spans="1:11" x14ac:dyDescent="0.2">
      <c r="A37" s="150"/>
      <c r="B37" s="1"/>
      <c r="C37" s="5"/>
      <c r="D37" s="23"/>
      <c r="E37" s="2"/>
      <c r="F37" s="23"/>
      <c r="G37" s="23"/>
      <c r="H37" s="23"/>
      <c r="I37" s="23"/>
      <c r="J37" s="149"/>
      <c r="K37" s="113"/>
    </row>
    <row r="38" spans="1:11" x14ac:dyDescent="0.2">
      <c r="A38" s="150">
        <v>13</v>
      </c>
      <c r="B38" s="1">
        <v>3835</v>
      </c>
      <c r="C38" s="5">
        <v>27112</v>
      </c>
      <c r="D38" s="23" t="s">
        <v>261</v>
      </c>
      <c r="E38" s="2" t="s">
        <v>482</v>
      </c>
      <c r="F38" s="23" t="s">
        <v>254</v>
      </c>
      <c r="G38" s="23">
        <v>3</v>
      </c>
      <c r="H38" s="23">
        <v>3</v>
      </c>
      <c r="I38" s="23"/>
      <c r="J38" s="149">
        <v>6584</v>
      </c>
      <c r="K38" s="113" t="s">
        <v>1385</v>
      </c>
    </row>
    <row r="39" spans="1:11" x14ac:dyDescent="0.2">
      <c r="A39" s="150"/>
      <c r="B39" s="1">
        <v>3836</v>
      </c>
      <c r="C39" s="5">
        <v>27115</v>
      </c>
      <c r="D39" s="23" t="s">
        <v>261</v>
      </c>
      <c r="E39" s="2" t="s">
        <v>1381</v>
      </c>
      <c r="F39" s="23" t="s">
        <v>281</v>
      </c>
      <c r="G39" s="23">
        <v>3</v>
      </c>
      <c r="H39" s="23">
        <v>1</v>
      </c>
      <c r="I39" s="23"/>
      <c r="J39" s="149">
        <v>7404</v>
      </c>
      <c r="K39" s="113" t="s">
        <v>1386</v>
      </c>
    </row>
    <row r="40" spans="1:11" x14ac:dyDescent="0.2">
      <c r="A40" s="150"/>
      <c r="B40" s="1"/>
      <c r="C40" s="5"/>
      <c r="D40" s="23"/>
      <c r="E40" s="2"/>
      <c r="F40" s="23"/>
      <c r="G40" s="23"/>
      <c r="H40" s="23"/>
      <c r="I40" s="23"/>
      <c r="J40" s="149"/>
      <c r="K40" s="113"/>
    </row>
    <row r="41" spans="1:11" x14ac:dyDescent="0.2">
      <c r="A41" s="150">
        <v>14</v>
      </c>
      <c r="B41" s="1">
        <v>4815</v>
      </c>
      <c r="C41" s="5">
        <v>30625</v>
      </c>
      <c r="D41" s="23" t="s">
        <v>261</v>
      </c>
      <c r="E41" s="2" t="s">
        <v>1368</v>
      </c>
      <c r="F41" s="23" t="s">
        <v>281</v>
      </c>
      <c r="G41" s="23">
        <v>3</v>
      </c>
      <c r="H41" s="23">
        <v>0</v>
      </c>
      <c r="I41" s="23"/>
      <c r="J41" s="149">
        <v>2785</v>
      </c>
      <c r="K41" s="113" t="s">
        <v>1387</v>
      </c>
    </row>
    <row r="42" spans="1:11" x14ac:dyDescent="0.2">
      <c r="A42" s="150"/>
      <c r="B42" s="1">
        <v>4817</v>
      </c>
      <c r="C42" s="5">
        <v>30646</v>
      </c>
      <c r="D42" s="23" t="s">
        <v>261</v>
      </c>
      <c r="E42" s="2" t="s">
        <v>1321</v>
      </c>
      <c r="F42" s="23" t="s">
        <v>281</v>
      </c>
      <c r="G42" s="23">
        <v>3</v>
      </c>
      <c r="H42" s="23">
        <v>2</v>
      </c>
      <c r="I42" s="23"/>
      <c r="J42" s="149">
        <v>2022</v>
      </c>
      <c r="K42" s="113" t="s">
        <v>1388</v>
      </c>
    </row>
    <row r="43" spans="1:11" x14ac:dyDescent="0.2">
      <c r="A43" s="150"/>
      <c r="B43" s="1"/>
      <c r="C43" s="5"/>
      <c r="D43" s="23"/>
      <c r="E43" s="2"/>
      <c r="F43" s="23"/>
      <c r="G43" s="23"/>
      <c r="H43" s="23"/>
      <c r="I43" s="23"/>
      <c r="J43" s="149"/>
      <c r="K43" s="113"/>
    </row>
    <row r="44" spans="1:11" x14ac:dyDescent="0.2">
      <c r="A44" s="150">
        <v>15</v>
      </c>
      <c r="B44" s="1">
        <v>4833</v>
      </c>
      <c r="C44" s="5">
        <v>30751</v>
      </c>
      <c r="D44" s="23" t="s">
        <v>261</v>
      </c>
      <c r="E44" s="2" t="s">
        <v>363</v>
      </c>
      <c r="F44" s="23" t="s">
        <v>281</v>
      </c>
      <c r="G44" s="23">
        <v>3</v>
      </c>
      <c r="H44" s="23">
        <v>1</v>
      </c>
      <c r="I44" s="23"/>
      <c r="J44" s="149">
        <v>2836</v>
      </c>
      <c r="K44" s="113" t="s">
        <v>1389</v>
      </c>
    </row>
    <row r="45" spans="1:11" x14ac:dyDescent="0.2">
      <c r="A45" s="150"/>
      <c r="B45" s="1">
        <v>4834</v>
      </c>
      <c r="C45" s="5">
        <v>30760</v>
      </c>
      <c r="D45" s="23" t="s">
        <v>261</v>
      </c>
      <c r="E45" s="2" t="s">
        <v>1390</v>
      </c>
      <c r="F45" s="23" t="s">
        <v>281</v>
      </c>
      <c r="G45" s="23">
        <v>3</v>
      </c>
      <c r="H45" s="23">
        <v>1</v>
      </c>
      <c r="I45" s="23"/>
      <c r="J45" s="149">
        <v>3032</v>
      </c>
      <c r="K45" s="113" t="s">
        <v>1391</v>
      </c>
    </row>
    <row r="46" spans="1:11" x14ac:dyDescent="0.2">
      <c r="A46" s="150"/>
      <c r="B46" s="1"/>
      <c r="C46" s="5"/>
      <c r="D46" s="23"/>
      <c r="E46" s="2"/>
      <c r="F46" s="23"/>
      <c r="G46" s="23"/>
      <c r="H46" s="23"/>
      <c r="I46" s="23"/>
      <c r="J46" s="149"/>
      <c r="K46" s="113"/>
    </row>
    <row r="47" spans="1:11" x14ac:dyDescent="0.2">
      <c r="A47" s="150">
        <v>16</v>
      </c>
      <c r="B47" s="1">
        <v>4902</v>
      </c>
      <c r="C47" s="5">
        <v>30926</v>
      </c>
      <c r="D47" s="23" t="s">
        <v>261</v>
      </c>
      <c r="E47" s="2" t="s">
        <v>1383</v>
      </c>
      <c r="F47" s="23" t="s">
        <v>281</v>
      </c>
      <c r="G47" s="23">
        <v>3</v>
      </c>
      <c r="H47" s="23">
        <v>1</v>
      </c>
      <c r="I47" s="23"/>
      <c r="J47" s="149">
        <v>4211</v>
      </c>
      <c r="K47" s="113" t="s">
        <v>1387</v>
      </c>
    </row>
    <row r="48" spans="1:11" x14ac:dyDescent="0.2">
      <c r="A48" s="150"/>
      <c r="B48" s="1">
        <v>4904</v>
      </c>
      <c r="C48" s="5">
        <v>30940</v>
      </c>
      <c r="D48" s="23" t="s">
        <v>261</v>
      </c>
      <c r="E48" s="2" t="s">
        <v>1392</v>
      </c>
      <c r="F48" s="23" t="s">
        <v>281</v>
      </c>
      <c r="G48" s="23">
        <v>3</v>
      </c>
      <c r="H48" s="23">
        <v>1</v>
      </c>
      <c r="I48" s="23"/>
      <c r="J48" s="149">
        <v>2473</v>
      </c>
      <c r="K48" s="113" t="s">
        <v>1393</v>
      </c>
    </row>
    <row r="49" spans="1:11" x14ac:dyDescent="0.2">
      <c r="A49" s="150"/>
      <c r="B49" s="1"/>
      <c r="C49" s="5"/>
      <c r="D49" s="23"/>
      <c r="E49" s="2"/>
      <c r="F49" s="23"/>
      <c r="G49" s="23"/>
      <c r="H49" s="23"/>
      <c r="I49" s="23"/>
      <c r="J49" s="149"/>
      <c r="K49" s="113"/>
    </row>
    <row r="50" spans="1:11" x14ac:dyDescent="0.2">
      <c r="A50" s="150">
        <v>17</v>
      </c>
      <c r="B50" s="1">
        <v>6306</v>
      </c>
      <c r="C50" s="5">
        <v>36046</v>
      </c>
      <c r="D50" s="102" t="s">
        <v>261</v>
      </c>
      <c r="E50" s="3" t="s">
        <v>1394</v>
      </c>
      <c r="F50" s="102" t="s">
        <v>281</v>
      </c>
      <c r="G50" s="102">
        <v>3</v>
      </c>
      <c r="H50" s="102">
        <v>2</v>
      </c>
      <c r="I50" s="102" t="s">
        <v>1395</v>
      </c>
      <c r="J50" s="132">
        <v>3098</v>
      </c>
      <c r="K50" s="125" t="s">
        <v>1396</v>
      </c>
    </row>
    <row r="51" spans="1:11" x14ac:dyDescent="0.2">
      <c r="A51" s="150"/>
      <c r="B51" s="1">
        <v>6308</v>
      </c>
      <c r="C51" s="5">
        <v>36057</v>
      </c>
      <c r="D51" s="102" t="s">
        <v>261</v>
      </c>
      <c r="E51" s="3" t="s">
        <v>1397</v>
      </c>
      <c r="F51" s="102" t="s">
        <v>254</v>
      </c>
      <c r="G51" s="102">
        <v>3</v>
      </c>
      <c r="H51" s="102">
        <v>3</v>
      </c>
      <c r="I51" s="102" t="s">
        <v>1398</v>
      </c>
      <c r="J51" s="132">
        <v>9071</v>
      </c>
      <c r="K51" s="125" t="s">
        <v>1399</v>
      </c>
    </row>
    <row r="52" spans="1:11" x14ac:dyDescent="0.2">
      <c r="A52" s="150"/>
      <c r="B52" s="1"/>
      <c r="C52" s="5"/>
      <c r="D52" s="102"/>
      <c r="E52" s="3"/>
      <c r="F52" s="102"/>
      <c r="G52" s="102"/>
      <c r="H52" s="102"/>
      <c r="I52" s="102"/>
      <c r="J52" s="132"/>
      <c r="K52" s="125"/>
    </row>
    <row r="53" spans="1:11" x14ac:dyDescent="0.2">
      <c r="A53" s="150">
        <v>18</v>
      </c>
      <c r="B53" s="110">
        <v>7216</v>
      </c>
      <c r="C53" s="120">
        <v>39368</v>
      </c>
      <c r="D53" s="110" t="s">
        <v>261</v>
      </c>
      <c r="E53" s="77" t="s">
        <v>1400</v>
      </c>
      <c r="F53" s="110" t="s">
        <v>281</v>
      </c>
      <c r="G53" s="110">
        <v>3</v>
      </c>
      <c r="H53" s="110">
        <v>0</v>
      </c>
      <c r="I53" s="121" t="s">
        <v>359</v>
      </c>
      <c r="J53" s="122">
        <v>1557</v>
      </c>
      <c r="K53" s="123" t="s">
        <v>1401</v>
      </c>
    </row>
    <row r="54" spans="1:11" x14ac:dyDescent="0.2">
      <c r="A54" s="150"/>
      <c r="B54" s="110">
        <v>7218</v>
      </c>
      <c r="C54" s="120">
        <v>39390</v>
      </c>
      <c r="D54" s="110" t="s">
        <v>261</v>
      </c>
      <c r="E54" s="77" t="s">
        <v>351</v>
      </c>
      <c r="F54" s="110" t="s">
        <v>281</v>
      </c>
      <c r="G54" s="110">
        <v>4</v>
      </c>
      <c r="H54" s="110">
        <v>1</v>
      </c>
      <c r="I54" s="121" t="s">
        <v>352</v>
      </c>
      <c r="J54" s="122">
        <v>1603</v>
      </c>
      <c r="K54" s="123" t="s">
        <v>1238</v>
      </c>
    </row>
    <row r="55" spans="1:11" x14ac:dyDescent="0.2">
      <c r="A55" s="150"/>
      <c r="B55" s="110"/>
      <c r="C55" s="120"/>
      <c r="D55" s="110"/>
      <c r="E55" s="77"/>
      <c r="F55" s="110"/>
      <c r="G55" s="110"/>
      <c r="H55" s="110"/>
      <c r="I55" s="121"/>
      <c r="J55" s="122"/>
      <c r="K55" s="123"/>
    </row>
    <row r="56" spans="1:11" x14ac:dyDescent="0.2">
      <c r="A56" s="150">
        <v>19</v>
      </c>
      <c r="B56" s="134">
        <v>8341</v>
      </c>
      <c r="C56" s="135">
        <v>43577</v>
      </c>
      <c r="D56" s="134" t="s">
        <v>261</v>
      </c>
      <c r="E56" s="136" t="s">
        <v>1335</v>
      </c>
      <c r="F56" s="134" t="s">
        <v>281</v>
      </c>
      <c r="G56" s="134">
        <v>3</v>
      </c>
      <c r="H56" s="134">
        <v>1</v>
      </c>
      <c r="I56" s="137" t="s">
        <v>270</v>
      </c>
      <c r="J56" s="138">
        <v>775</v>
      </c>
      <c r="K56" s="139" t="s">
        <v>1336</v>
      </c>
    </row>
    <row r="57" spans="1:11" x14ac:dyDescent="0.2">
      <c r="A57" s="150"/>
      <c r="B57" s="134">
        <v>8401</v>
      </c>
      <c r="C57" s="135">
        <v>43680</v>
      </c>
      <c r="D57" s="134" t="s">
        <v>261</v>
      </c>
      <c r="E57" s="136" t="s">
        <v>562</v>
      </c>
      <c r="F57" s="134" t="s">
        <v>281</v>
      </c>
      <c r="G57" s="134">
        <v>3</v>
      </c>
      <c r="H57" s="134">
        <v>1</v>
      </c>
      <c r="I57" s="137" t="s">
        <v>327</v>
      </c>
      <c r="J57" s="138">
        <v>1879</v>
      </c>
      <c r="K57" s="139" t="s">
        <v>1337</v>
      </c>
    </row>
    <row r="58" spans="1:11" x14ac:dyDescent="0.2">
      <c r="A58" s="150"/>
      <c r="B58" s="134">
        <v>8404</v>
      </c>
      <c r="C58" s="135">
        <v>43690</v>
      </c>
      <c r="D58" s="134" t="s">
        <v>261</v>
      </c>
      <c r="E58" s="136" t="s">
        <v>1402</v>
      </c>
      <c r="F58" s="134" t="s">
        <v>281</v>
      </c>
      <c r="G58" s="134">
        <v>3</v>
      </c>
      <c r="H58" s="134">
        <v>0</v>
      </c>
      <c r="I58" s="137" t="s">
        <v>1161</v>
      </c>
      <c r="J58" s="138">
        <v>1389</v>
      </c>
      <c r="K58" s="139" t="s">
        <v>1403</v>
      </c>
    </row>
    <row r="59" spans="1:11" x14ac:dyDescent="0.2">
      <c r="A59" s="150"/>
      <c r="B59" s="134">
        <v>8406</v>
      </c>
      <c r="C59" s="135">
        <v>43701</v>
      </c>
      <c r="D59" s="134" t="s">
        <v>261</v>
      </c>
      <c r="E59" s="136" t="s">
        <v>1404</v>
      </c>
      <c r="F59" s="134" t="s">
        <v>281</v>
      </c>
      <c r="G59" s="134">
        <v>4</v>
      </c>
      <c r="H59" s="134">
        <v>1</v>
      </c>
      <c r="I59" s="137" t="s">
        <v>1405</v>
      </c>
      <c r="J59" s="138">
        <v>1563</v>
      </c>
      <c r="K59" s="141" t="s">
        <v>1406</v>
      </c>
    </row>
    <row r="60" spans="1:11" x14ac:dyDescent="0.2">
      <c r="A60" s="150"/>
      <c r="B60" s="134">
        <v>8408</v>
      </c>
      <c r="C60" s="135">
        <v>43708</v>
      </c>
      <c r="D60" s="134" t="s">
        <v>261</v>
      </c>
      <c r="E60" s="136" t="s">
        <v>1407</v>
      </c>
      <c r="F60" s="134" t="s">
        <v>281</v>
      </c>
      <c r="G60" s="134">
        <v>3</v>
      </c>
      <c r="H60" s="134">
        <v>2</v>
      </c>
      <c r="I60" s="137" t="s">
        <v>1090</v>
      </c>
      <c r="J60" s="138">
        <v>652</v>
      </c>
      <c r="K60" s="141" t="s">
        <v>1408</v>
      </c>
    </row>
    <row r="61" spans="1:11" x14ac:dyDescent="0.2">
      <c r="A61" s="150"/>
      <c r="B61" s="110"/>
      <c r="C61" s="120"/>
      <c r="D61" s="110"/>
      <c r="E61" s="77"/>
      <c r="F61" s="110"/>
      <c r="G61" s="110"/>
      <c r="H61" s="110"/>
      <c r="I61" s="121"/>
      <c r="J61" s="122"/>
      <c r="K61" s="123"/>
    </row>
    <row r="62" spans="1:11" x14ac:dyDescent="0.2">
      <c r="A62" s="150">
        <v>20</v>
      </c>
      <c r="B62" s="134">
        <v>8622</v>
      </c>
      <c r="C62" s="135">
        <v>44597</v>
      </c>
      <c r="D62" s="134" t="s">
        <v>261</v>
      </c>
      <c r="E62" s="136" t="s">
        <v>1402</v>
      </c>
      <c r="F62" s="134" t="s">
        <v>281</v>
      </c>
      <c r="G62" s="134">
        <v>3</v>
      </c>
      <c r="H62" s="134">
        <v>0</v>
      </c>
      <c r="I62" s="137" t="s">
        <v>1161</v>
      </c>
      <c r="J62" s="138">
        <v>1250</v>
      </c>
      <c r="K62" s="139" t="s">
        <v>1409</v>
      </c>
    </row>
    <row r="63" spans="1:11" x14ac:dyDescent="0.2">
      <c r="A63" s="150"/>
      <c r="B63" s="134">
        <v>8623</v>
      </c>
      <c r="C63" s="135">
        <v>44601</v>
      </c>
      <c r="D63" s="134" t="s">
        <v>261</v>
      </c>
      <c r="E63" s="136" t="s">
        <v>1335</v>
      </c>
      <c r="F63" s="134" t="s">
        <v>281</v>
      </c>
      <c r="G63" s="134">
        <v>4</v>
      </c>
      <c r="H63" s="134">
        <v>2</v>
      </c>
      <c r="I63" s="137" t="s">
        <v>1405</v>
      </c>
      <c r="J63" s="138">
        <v>866</v>
      </c>
      <c r="K63" s="139" t="s">
        <v>1410</v>
      </c>
    </row>
    <row r="64" spans="1:11" x14ac:dyDescent="0.2">
      <c r="A64" s="150"/>
    </row>
    <row r="65" spans="1:1" x14ac:dyDescent="0.2">
      <c r="A65" s="150"/>
    </row>
    <row r="66" spans="1:1" x14ac:dyDescent="0.2">
      <c r="A66" s="150"/>
    </row>
    <row r="67" spans="1:1" x14ac:dyDescent="0.2">
      <c r="A67" s="150"/>
    </row>
    <row r="68" spans="1:1" x14ac:dyDescent="0.2">
      <c r="A68" s="150"/>
    </row>
    <row r="69" spans="1:1" x14ac:dyDescent="0.2">
      <c r="A69" s="150"/>
    </row>
    <row r="70" spans="1:1" x14ac:dyDescent="0.2">
      <c r="A70" s="150"/>
    </row>
    <row r="71" spans="1:1" x14ac:dyDescent="0.2">
      <c r="A71" s="150"/>
    </row>
    <row r="72" spans="1:1" x14ac:dyDescent="0.2">
      <c r="A72" s="150"/>
    </row>
    <row r="73" spans="1:1" x14ac:dyDescent="0.2">
      <c r="A73" s="150"/>
    </row>
    <row r="74" spans="1:1" x14ac:dyDescent="0.2">
      <c r="A74" s="150"/>
    </row>
    <row r="75" spans="1:1" x14ac:dyDescent="0.2">
      <c r="A75" s="150"/>
    </row>
    <row r="76" spans="1:1" x14ac:dyDescent="0.2">
      <c r="A76" s="150"/>
    </row>
    <row r="77" spans="1:1" x14ac:dyDescent="0.2">
      <c r="A77" s="150"/>
    </row>
    <row r="78" spans="1:1" x14ac:dyDescent="0.2">
      <c r="A78" s="150"/>
    </row>
    <row r="79" spans="1:1" x14ac:dyDescent="0.2">
      <c r="A79" s="150"/>
    </row>
    <row r="80" spans="1:1" x14ac:dyDescent="0.2">
      <c r="A80" s="150"/>
    </row>
    <row r="81" spans="1:1" x14ac:dyDescent="0.2">
      <c r="A81" s="150"/>
    </row>
    <row r="82" spans="1:1" x14ac:dyDescent="0.2">
      <c r="A82" s="150"/>
    </row>
    <row r="83" spans="1:1" x14ac:dyDescent="0.2">
      <c r="A83" s="150"/>
    </row>
    <row r="84" spans="1:1" x14ac:dyDescent="0.2">
      <c r="A84" s="150"/>
    </row>
    <row r="85" spans="1:1" x14ac:dyDescent="0.2">
      <c r="A85" s="150"/>
    </row>
    <row r="86" spans="1:1" x14ac:dyDescent="0.2">
      <c r="A86" s="150"/>
    </row>
    <row r="87" spans="1:1" x14ac:dyDescent="0.2">
      <c r="A87" s="150"/>
    </row>
    <row r="88" spans="1:1" x14ac:dyDescent="0.2">
      <c r="A88" s="150"/>
    </row>
    <row r="89" spans="1:1" x14ac:dyDescent="0.2">
      <c r="A89" s="150"/>
    </row>
    <row r="90" spans="1:1" x14ac:dyDescent="0.2">
      <c r="A90" s="150"/>
    </row>
    <row r="91" spans="1:1" x14ac:dyDescent="0.2">
      <c r="A91" s="150"/>
    </row>
    <row r="92" spans="1:1" x14ac:dyDescent="0.2">
      <c r="A92" s="150"/>
    </row>
    <row r="93" spans="1:1" x14ac:dyDescent="0.2">
      <c r="A93" s="150"/>
    </row>
    <row r="94" spans="1:1" x14ac:dyDescent="0.2">
      <c r="A94" s="150"/>
    </row>
    <row r="95" spans="1:1" x14ac:dyDescent="0.2">
      <c r="A95" s="150"/>
    </row>
    <row r="96" spans="1:1" x14ac:dyDescent="0.2">
      <c r="A96" s="1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Birthdays</vt:lpstr>
      <vt:lpstr>Clubmen of Year</vt:lpstr>
      <vt:lpstr>Managers</vt:lpstr>
      <vt:lpstr>Dates (League)</vt:lpstr>
      <vt:lpstr>Days (League)</vt:lpstr>
      <vt:lpstr>Top Scorers</vt:lpstr>
      <vt:lpstr>Comebacks (to win)</vt:lpstr>
      <vt:lpstr>Hat Tricks</vt:lpstr>
      <vt:lpstr>3+ goals in consec. away games</vt:lpstr>
      <vt:lpstr>3+ goals in 4 consec. games</vt:lpstr>
      <vt:lpstr>Most Appearances</vt:lpstr>
      <vt:lpstr>Record Transfers</vt:lpstr>
      <vt:lpstr>Television</vt:lpstr>
      <vt:lpstr>Television-Enhanced</vt:lpstr>
      <vt:lpstr>25,000+ Crowds</vt:lpstr>
      <vt:lpstr>'Top Scorers'!Print_Area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A L Naylor</dc:creator>
  <cp:lastModifiedBy>Chris Forth</cp:lastModifiedBy>
  <cp:lastPrinted>2009-11-20T18:45:02Z</cp:lastPrinted>
  <dcterms:created xsi:type="dcterms:W3CDTF">1997-12-20T18:35:30Z</dcterms:created>
  <dcterms:modified xsi:type="dcterms:W3CDTF">2025-03-27T21:05:40Z</dcterms:modified>
</cp:coreProperties>
</file>